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cova_zuzana\Desktop\správa o plnení k 30062024\"/>
    </mc:Choice>
  </mc:AlternateContent>
  <xr:revisionPtr revIDLastSave="0" documentId="8_{890F0A90-2FCC-4412-9E35-28F08D7B4AD0}" xr6:coauthVersionLast="36" xr6:coauthVersionMax="36" xr10:uidLastSave="{00000000-0000-0000-0000-000000000000}"/>
  <bookViews>
    <workbookView xWindow="0" yWindow="0" windowWidth="19200" windowHeight="6345" xr2:uid="{BE9BA6D7-1E8D-4B2D-8F0D-BB5A69DC9749}"/>
  </bookViews>
  <sheets>
    <sheet name=" PRIJMY tab. 1 " sheetId="4" r:id="rId1"/>
    <sheet name="VYDAJE tab. 2" sheetId="5" r:id="rId2"/>
    <sheet name="miestne podniky tab. 3 a 4" sheetId="7" r:id="rId3"/>
    <sheet name="základné školy tab. 5" sheetId="6" r:id="rId4"/>
  </sheets>
  <externalReferences>
    <externalReference r:id="rId5"/>
    <externalReference r:id="rId6"/>
  </externalReferences>
  <definedNames>
    <definedName name="AAA" localSheetId="0">[1]Doplnkove_koeficienty!#REF!</definedName>
    <definedName name="AAA" localSheetId="2">[1]Doplnkove_koeficienty!#REF!</definedName>
    <definedName name="AAA" localSheetId="1">[1]Doplnkove_koeficienty!#REF!</definedName>
    <definedName name="AAA" localSheetId="3">[1]Doplnkove_koeficienty!#REF!</definedName>
    <definedName name="AAA">[1]Doplnkove_koeficienty!#REF!</definedName>
    <definedName name="BBB" localSheetId="0">[1]Koeficienty!#REF!</definedName>
    <definedName name="BBB" localSheetId="2">[1]Koeficienty!#REF!</definedName>
    <definedName name="BBB" localSheetId="1">[1]Koeficienty!#REF!</definedName>
    <definedName name="BBB" localSheetId="3">[1]Koeficienty!#REF!</definedName>
    <definedName name="BBB">[1]Koeficienty!#REF!</definedName>
    <definedName name="ddd" localSheetId="0">[1]Koeficienty!#REF!</definedName>
    <definedName name="ddd" localSheetId="2">[1]Koeficienty!#REF!</definedName>
    <definedName name="ddd" localSheetId="1">[1]Koeficienty!#REF!</definedName>
    <definedName name="ddd">[1]Koeficienty!#REF!</definedName>
    <definedName name="DoplnkoveKoeficienty" localSheetId="0">[1]Doplnkove_koeficienty!#REF!</definedName>
    <definedName name="DoplnkoveKoeficienty" localSheetId="2">[1]Doplnkove_koeficienty!#REF!</definedName>
    <definedName name="DoplnkoveKoeficienty" localSheetId="1">[1]Doplnkove_koeficienty!#REF!</definedName>
    <definedName name="DoplnkoveKoeficienty">[1]Doplnkove_koeficienty!#REF!</definedName>
    <definedName name="k2r">[2]Koeficienty!$H$15</definedName>
    <definedName name="kbs">[2]Koeficienty!$H$6</definedName>
    <definedName name="kcspp1" localSheetId="0">[1]Koeficienty!#REF!</definedName>
    <definedName name="kcspp1" localSheetId="2">[1]Koeficienty!#REF!</definedName>
    <definedName name="kcspp1" localSheetId="1">[1]Koeficienty!#REF!</definedName>
    <definedName name="kcspp1" localSheetId="3">[1]Koeficienty!#REF!</definedName>
    <definedName name="kcspp1">[1]Koeficienty!#REF!</definedName>
    <definedName name="kcspp2" localSheetId="0">[1]Koeficienty!#REF!</definedName>
    <definedName name="kcspp2" localSheetId="2">[1]Koeficienty!#REF!</definedName>
    <definedName name="kcspp2" localSheetId="1">[1]Koeficienty!#REF!</definedName>
    <definedName name="kcspp2" localSheetId="3">[1]Koeficienty!#REF!</definedName>
    <definedName name="kcspp2">[1]Koeficienty!#REF!</definedName>
    <definedName name="kcspp3" localSheetId="0">[1]Koeficienty!#REF!</definedName>
    <definedName name="kcspp3" localSheetId="2">[1]Koeficienty!#REF!</definedName>
    <definedName name="kcspp3" localSheetId="1">[1]Koeficienty!#REF!</definedName>
    <definedName name="kcspp3">[1]Koeficienty!#REF!</definedName>
    <definedName name="kcspp4" localSheetId="0">[1]Koeficienty!#REF!</definedName>
    <definedName name="kcspp4" localSheetId="2">[1]Koeficienty!#REF!</definedName>
    <definedName name="kcspp4" localSheetId="1">[1]Koeficienty!#REF!</definedName>
    <definedName name="kcspp4">[1]Koeficienty!#REF!</definedName>
    <definedName name="kcvj">[2]Koeficienty!$H$3</definedName>
    <definedName name="kcvjzs">[2]Koeficienty!$H$4</definedName>
    <definedName name="kint">[2]Koeficienty!$H$33</definedName>
    <definedName name="kint1">[2]Koeficienty!$H$29</definedName>
    <definedName name="kint2">[2]Koeficienty!$H$30</definedName>
    <definedName name="kint3">[2]Koeficienty!$H$31</definedName>
    <definedName name="kintms">[2]Koeficienty!$H$37</definedName>
    <definedName name="kjnm">[2]Koeficienty!$H$5</definedName>
    <definedName name="kkat1">[2]Koeficienty!$H$17</definedName>
    <definedName name="kkat1zs">[2]Koeficienty!$H$23</definedName>
    <definedName name="kkat2">[2]Koeficienty!$H$18</definedName>
    <definedName name="kkat2zs">[2]Koeficienty!$H$24</definedName>
    <definedName name="kkat3">[2]Koeficienty!$H$19</definedName>
    <definedName name="kkat3zs">[2]Koeficienty!$H$25</definedName>
    <definedName name="kkat4">[2]Koeficienty!$H$20</definedName>
    <definedName name="kkat4zs">[2]Koeficienty!$H$26</definedName>
    <definedName name="kkat5">[2]Koeficienty!$H$21</definedName>
    <definedName name="kkat5zs">[2]Koeficienty!$H$27</definedName>
    <definedName name="kkat6">[2]Koeficienty!$H$22</definedName>
    <definedName name="kkat6zs">[2]Koeficienty!$H$28</definedName>
    <definedName name="knem1">[2]Koeficienty!$H$12</definedName>
    <definedName name="knem2">[2]Koeficienty!$H$13</definedName>
    <definedName name="knem3">[2]Koeficienty!$H$14</definedName>
    <definedName name="knemms">[2]Koeficienty!$H$34</definedName>
    <definedName name="knemskd1">[2]Koeficienty!$H$38</definedName>
    <definedName name="knemskd2">[2]Koeficienty!$H$39</definedName>
    <definedName name="knemskd3">[2]Koeficienty!$H$40</definedName>
    <definedName name="knpa">[2]Koeficienty!$H$45</definedName>
    <definedName name="knr">[2]Koeficienty!$H$7</definedName>
    <definedName name="knrptp">[2]Koeficienty!$H$44</definedName>
    <definedName name="kop">[2]Koeficienty!$H$42</definedName>
    <definedName name="kos">[2]Koeficienty!$H$9</definedName>
    <definedName name="kprax60">[2]Koeficienty!$H$10</definedName>
    <definedName name="kprax80">[2]Koeficienty!$H$11</definedName>
    <definedName name="krvp1">[2]Koeficienty!$H$32</definedName>
    <definedName name="krvp2" localSheetId="0">[1]Koeficienty!#REF!</definedName>
    <definedName name="krvp2" localSheetId="2">[1]Koeficienty!#REF!</definedName>
    <definedName name="krvp2" localSheetId="1">[1]Koeficienty!#REF!</definedName>
    <definedName name="krvp2" localSheetId="3">[1]Koeficienty!#REF!</definedName>
    <definedName name="krvp2">[1]Koeficienty!#REF!</definedName>
    <definedName name="ksf">[2]Koeficienty!$H$43</definedName>
    <definedName name="ksgym1">[2]Koeficienty!$H$47</definedName>
    <definedName name="ksgym2">[2]Koeficienty!$H$48</definedName>
    <definedName name="ksgym3">[2]Koeficienty!$H$49</definedName>
    <definedName name="ksportm1">[2]Koeficienty!$H$50</definedName>
    <definedName name="ksportm2">[2]Koeficienty!$H$51</definedName>
    <definedName name="ksportm3">[2]Koeficienty!$H$52</definedName>
    <definedName name="kvaz1">[2]Koeficienty!$H$35</definedName>
    <definedName name="kvaz2">[2]Koeficienty!$H$36</definedName>
    <definedName name="kvs">[2]Koeficienty!$H$8</definedName>
    <definedName name="msnorm">[2]Koeficienty!$H$41</definedName>
    <definedName name="_xlnm.Print_Area" localSheetId="1">'VYDAJE tab. 2'!$A$1:$L$142</definedName>
    <definedName name="Poslané" localSheetId="0">[1]Doplnkove_koeficienty!#REF!</definedName>
    <definedName name="Poslané" localSheetId="2">[1]Doplnkove_koeficienty!#REF!</definedName>
    <definedName name="Poslané" localSheetId="1">[1]Doplnkove_koeficienty!#REF!</definedName>
    <definedName name="Poslané" localSheetId="3">[1]Doplnkove_koeficienty!#REF!</definedName>
    <definedName name="Poslané">[1]Doplnkove_koeficienty!#REF!</definedName>
    <definedName name="vvv" localSheetId="0">[1]Doplnkove_koeficienty!#REF!</definedName>
    <definedName name="vvv" localSheetId="2">[1]Doplnkove_koeficienty!#REF!</definedName>
    <definedName name="vvv" localSheetId="1">[1]Doplnkove_koeficienty!#REF!</definedName>
    <definedName name="vvv" localSheetId="3">[1]Doplnkove_koeficienty!#REF!</definedName>
    <definedName name="vvv">[1]Doplnkove_koeficienty!#REF!</definedName>
    <definedName name="x" localSheetId="0">[1]Doplnkove_koeficienty!#REF!</definedName>
    <definedName name="x" localSheetId="2">[1]Doplnkove_koeficienty!#REF!</definedName>
    <definedName name="x" localSheetId="1">[1]Doplnkove_koeficienty!#REF!</definedName>
    <definedName name="x">[1]Doplnkove_koeficienty!#REF!</definedName>
    <definedName name="xcccx" localSheetId="0">[1]Doplnkove_koeficienty!#REF!</definedName>
    <definedName name="xcccx" localSheetId="2">[1]Doplnkove_koeficienty!#REF!</definedName>
    <definedName name="xcccx" localSheetId="1">[1]Doplnkove_koeficienty!#REF!</definedName>
    <definedName name="xcccx">[1]Doplnkove_koeficienty!#REF!</definedName>
    <definedName name="y" localSheetId="0">[1]Koeficienty!#REF!</definedName>
    <definedName name="y" localSheetId="2">[1]Koeficienty!#REF!</definedName>
    <definedName name="y" localSheetId="1">[1]Koeficienty!#REF!</definedName>
    <definedName name="y">[1]Koeficienty!#REF!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7" l="1"/>
  <c r="E43" i="7"/>
  <c r="E53" i="7"/>
  <c r="F71" i="7"/>
  <c r="F69" i="7"/>
  <c r="F68" i="7"/>
  <c r="F67" i="7"/>
  <c r="F66" i="7"/>
  <c r="F65" i="7"/>
  <c r="F63" i="7"/>
  <c r="F62" i="7"/>
  <c r="F61" i="7"/>
  <c r="F60" i="7"/>
  <c r="F58" i="7"/>
  <c r="F57" i="7"/>
  <c r="F56" i="7"/>
  <c r="F55" i="7"/>
  <c r="D53" i="7"/>
  <c r="D43" i="7" s="1"/>
  <c r="C53" i="7"/>
  <c r="F52" i="7"/>
  <c r="F51" i="7"/>
  <c r="F50" i="7"/>
  <c r="F49" i="7"/>
  <c r="F47" i="7"/>
  <c r="D46" i="7"/>
  <c r="C46" i="7"/>
  <c r="F45" i="7"/>
  <c r="D44" i="7"/>
  <c r="F44" i="7" s="1"/>
  <c r="C44" i="7"/>
  <c r="C43" i="7"/>
  <c r="C39" i="7" s="1"/>
  <c r="F42" i="7"/>
  <c r="F40" i="7"/>
  <c r="F32" i="7"/>
  <c r="F31" i="7"/>
  <c r="F29" i="7"/>
  <c r="F28" i="7"/>
  <c r="F26" i="7"/>
  <c r="F25" i="7"/>
  <c r="F22" i="7"/>
  <c r="F21" i="7"/>
  <c r="F19" i="7"/>
  <c r="F18" i="7"/>
  <c r="F16" i="7"/>
  <c r="F14" i="7"/>
  <c r="F13" i="7"/>
  <c r="F12" i="7"/>
  <c r="F11" i="7"/>
  <c r="F10" i="7"/>
  <c r="D8" i="7"/>
  <c r="F8" i="7" s="1"/>
  <c r="C8" i="7"/>
  <c r="F46" i="7" l="1"/>
  <c r="F43" i="7"/>
  <c r="D39" i="7"/>
  <c r="F39" i="7" s="1"/>
  <c r="F53" i="7"/>
  <c r="H370" i="6"/>
  <c r="G370" i="6"/>
  <c r="F370" i="6"/>
  <c r="H369" i="6"/>
  <c r="G369" i="6"/>
  <c r="F369" i="6"/>
  <c r="D367" i="6"/>
  <c r="C367" i="6"/>
  <c r="B367" i="6"/>
  <c r="H366" i="6"/>
  <c r="G366" i="6"/>
  <c r="F366" i="6"/>
  <c r="H365" i="6"/>
  <c r="G365" i="6"/>
  <c r="F365" i="6"/>
  <c r="H364" i="6"/>
  <c r="G364" i="6"/>
  <c r="F364" i="6"/>
  <c r="H363" i="6"/>
  <c r="G363" i="6"/>
  <c r="F363" i="6"/>
  <c r="E363" i="6"/>
  <c r="H362" i="6"/>
  <c r="G362" i="6"/>
  <c r="F362" i="6"/>
  <c r="E362" i="6"/>
  <c r="H361" i="6"/>
  <c r="G361" i="6"/>
  <c r="F361" i="6"/>
  <c r="E361" i="6"/>
  <c r="D360" i="6"/>
  <c r="D356" i="6" s="1"/>
  <c r="C360" i="6"/>
  <c r="B360" i="6"/>
  <c r="B356" i="6" s="1"/>
  <c r="H359" i="6"/>
  <c r="G359" i="6"/>
  <c r="F359" i="6"/>
  <c r="H358" i="6"/>
  <c r="G358" i="6"/>
  <c r="F358" i="6"/>
  <c r="E358" i="6"/>
  <c r="G357" i="6"/>
  <c r="F357" i="6"/>
  <c r="E357" i="6"/>
  <c r="G355" i="6"/>
  <c r="F355" i="6"/>
  <c r="H354" i="6"/>
  <c r="G354" i="6"/>
  <c r="F354" i="6"/>
  <c r="G353" i="6"/>
  <c r="F353" i="6"/>
  <c r="D352" i="6"/>
  <c r="C352" i="6"/>
  <c r="B352" i="6"/>
  <c r="H351" i="6"/>
  <c r="G351" i="6"/>
  <c r="F351" i="6"/>
  <c r="H350" i="6"/>
  <c r="G350" i="6"/>
  <c r="F350" i="6"/>
  <c r="H349" i="6"/>
  <c r="G349" i="6"/>
  <c r="F349" i="6"/>
  <c r="E349" i="6"/>
  <c r="H348" i="6"/>
  <c r="G348" i="6"/>
  <c r="F348" i="6"/>
  <c r="H347" i="6"/>
  <c r="G347" i="6"/>
  <c r="F347" i="6"/>
  <c r="H346" i="6"/>
  <c r="G346" i="6"/>
  <c r="F346" i="6"/>
  <c r="H345" i="6"/>
  <c r="G345" i="6"/>
  <c r="F345" i="6"/>
  <c r="H344" i="6"/>
  <c r="G344" i="6"/>
  <c r="F344" i="6"/>
  <c r="H343" i="6"/>
  <c r="G343" i="6"/>
  <c r="F343" i="6"/>
  <c r="E343" i="6"/>
  <c r="H342" i="6"/>
  <c r="G342" i="6"/>
  <c r="F342" i="6"/>
  <c r="E342" i="6"/>
  <c r="H341" i="6"/>
  <c r="G341" i="6"/>
  <c r="F341" i="6"/>
  <c r="H340" i="6"/>
  <c r="G340" i="6"/>
  <c r="F340" i="6"/>
  <c r="E340" i="6"/>
  <c r="H339" i="6"/>
  <c r="G339" i="6"/>
  <c r="F339" i="6"/>
  <c r="E339" i="6"/>
  <c r="H338" i="6"/>
  <c r="G338" i="6"/>
  <c r="F338" i="6"/>
  <c r="H337" i="6"/>
  <c r="G337" i="6"/>
  <c r="F337" i="6"/>
  <c r="E337" i="6"/>
  <c r="D336" i="6"/>
  <c r="C336" i="6"/>
  <c r="B336" i="6"/>
  <c r="H335" i="6"/>
  <c r="G335" i="6"/>
  <c r="F335" i="6"/>
  <c r="G334" i="6"/>
  <c r="F334" i="6"/>
  <c r="G333" i="6"/>
  <c r="F333" i="6"/>
  <c r="E333" i="6"/>
  <c r="H332" i="6"/>
  <c r="E332" i="6"/>
  <c r="D331" i="6"/>
  <c r="D330" i="6" s="1"/>
  <c r="B331" i="6"/>
  <c r="B330" i="6" s="1"/>
  <c r="G329" i="6"/>
  <c r="F329" i="6"/>
  <c r="D329" i="6"/>
  <c r="D324" i="6" s="1"/>
  <c r="H328" i="6"/>
  <c r="G328" i="6"/>
  <c r="F328" i="6"/>
  <c r="E328" i="6"/>
  <c r="H327" i="6"/>
  <c r="G327" i="6"/>
  <c r="F327" i="6"/>
  <c r="E327" i="6"/>
  <c r="H326" i="6"/>
  <c r="G326" i="6"/>
  <c r="F326" i="6"/>
  <c r="E326" i="6"/>
  <c r="H325" i="6"/>
  <c r="G325" i="6"/>
  <c r="F325" i="6"/>
  <c r="E325" i="6"/>
  <c r="C324" i="6"/>
  <c r="B324" i="6"/>
  <c r="E306" i="6"/>
  <c r="H304" i="6"/>
  <c r="G304" i="6"/>
  <c r="F304" i="6"/>
  <c r="D304" i="6"/>
  <c r="C304" i="6"/>
  <c r="B304" i="6"/>
  <c r="I300" i="6"/>
  <c r="E300" i="6"/>
  <c r="I299" i="6"/>
  <c r="E299" i="6"/>
  <c r="I298" i="6"/>
  <c r="E298" i="6"/>
  <c r="H297" i="6"/>
  <c r="G297" i="6"/>
  <c r="F297" i="6"/>
  <c r="D297" i="6"/>
  <c r="D293" i="6" s="1"/>
  <c r="C297" i="6"/>
  <c r="B297" i="6"/>
  <c r="B293" i="6" s="1"/>
  <c r="I295" i="6"/>
  <c r="E295" i="6"/>
  <c r="I294" i="6"/>
  <c r="E294" i="6"/>
  <c r="H290" i="6"/>
  <c r="D290" i="6"/>
  <c r="H289" i="6"/>
  <c r="G289" i="6"/>
  <c r="F289" i="6"/>
  <c r="D289" i="6"/>
  <c r="C289" i="6"/>
  <c r="B289" i="6"/>
  <c r="I286" i="6"/>
  <c r="E286" i="6"/>
  <c r="I280" i="6"/>
  <c r="E280" i="6"/>
  <c r="I279" i="6"/>
  <c r="E279" i="6"/>
  <c r="I277" i="6"/>
  <c r="E277" i="6"/>
  <c r="E276" i="6"/>
  <c r="I275" i="6"/>
  <c r="I274" i="6"/>
  <c r="E274" i="6"/>
  <c r="G273" i="6"/>
  <c r="F273" i="6"/>
  <c r="C273" i="6"/>
  <c r="B273" i="6"/>
  <c r="H271" i="6"/>
  <c r="H273" i="6" s="1"/>
  <c r="D271" i="6"/>
  <c r="I270" i="6"/>
  <c r="D270" i="6"/>
  <c r="E270" i="6" s="1"/>
  <c r="I269" i="6"/>
  <c r="E269" i="6"/>
  <c r="C268" i="6"/>
  <c r="C267" i="6" s="1"/>
  <c r="B268" i="6"/>
  <c r="B267" i="6" s="1"/>
  <c r="H266" i="6"/>
  <c r="H261" i="6" s="1"/>
  <c r="D266" i="6"/>
  <c r="I265" i="6"/>
  <c r="E265" i="6"/>
  <c r="I264" i="6"/>
  <c r="E264" i="6"/>
  <c r="I263" i="6"/>
  <c r="E263" i="6"/>
  <c r="I262" i="6"/>
  <c r="E262" i="6"/>
  <c r="G261" i="6"/>
  <c r="F261" i="6"/>
  <c r="C261" i="6"/>
  <c r="B261" i="6"/>
  <c r="H243" i="6"/>
  <c r="G243" i="6"/>
  <c r="F243" i="6"/>
  <c r="D243" i="6"/>
  <c r="E243" i="6" s="1"/>
  <c r="C243" i="6"/>
  <c r="B243" i="6"/>
  <c r="I239" i="6"/>
  <c r="E239" i="6"/>
  <c r="I238" i="6"/>
  <c r="E238" i="6"/>
  <c r="I237" i="6"/>
  <c r="E237" i="6"/>
  <c r="G236" i="6"/>
  <c r="F236" i="6"/>
  <c r="D236" i="6"/>
  <c r="C236" i="6"/>
  <c r="B236" i="6"/>
  <c r="I234" i="6"/>
  <c r="E234" i="6"/>
  <c r="H233" i="6"/>
  <c r="H357" i="6" s="1"/>
  <c r="E233" i="6"/>
  <c r="I230" i="6"/>
  <c r="H229" i="6"/>
  <c r="D229" i="6"/>
  <c r="H228" i="6"/>
  <c r="G228" i="6"/>
  <c r="F228" i="6"/>
  <c r="D228" i="6"/>
  <c r="C228" i="6"/>
  <c r="B228" i="6"/>
  <c r="E225" i="6"/>
  <c r="I219" i="6"/>
  <c r="E219" i="6"/>
  <c r="I218" i="6"/>
  <c r="E218" i="6"/>
  <c r="I216" i="6"/>
  <c r="E216" i="6"/>
  <c r="E215" i="6"/>
  <c r="E214" i="6"/>
  <c r="I213" i="6"/>
  <c r="E213" i="6"/>
  <c r="C212" i="6"/>
  <c r="C207" i="6" s="1"/>
  <c r="C206" i="6" s="1"/>
  <c r="B212" i="6"/>
  <c r="B207" i="6" s="1"/>
  <c r="B206" i="6" s="1"/>
  <c r="I211" i="6"/>
  <c r="H210" i="6"/>
  <c r="H212" i="6" s="1"/>
  <c r="D210" i="6"/>
  <c r="D212" i="6" s="1"/>
  <c r="I209" i="6"/>
  <c r="E209" i="6"/>
  <c r="G208" i="6"/>
  <c r="G212" i="6" s="1"/>
  <c r="F208" i="6"/>
  <c r="F212" i="6" s="1"/>
  <c r="E208" i="6"/>
  <c r="I205" i="6"/>
  <c r="D205" i="6"/>
  <c r="D200" i="6" s="1"/>
  <c r="I204" i="6"/>
  <c r="E204" i="6"/>
  <c r="I203" i="6"/>
  <c r="E203" i="6"/>
  <c r="I202" i="6"/>
  <c r="E202" i="6"/>
  <c r="I201" i="6"/>
  <c r="E201" i="6"/>
  <c r="H200" i="6"/>
  <c r="G200" i="6"/>
  <c r="F200" i="6"/>
  <c r="C200" i="6"/>
  <c r="B200" i="6"/>
  <c r="H178" i="6"/>
  <c r="I178" i="6" s="1"/>
  <c r="G178" i="6"/>
  <c r="F178" i="6"/>
  <c r="D178" i="6"/>
  <c r="C178" i="6"/>
  <c r="B178" i="6"/>
  <c r="E174" i="6"/>
  <c r="I173" i="6"/>
  <c r="E173" i="6"/>
  <c r="I172" i="6"/>
  <c r="E172" i="6"/>
  <c r="H171" i="6"/>
  <c r="G171" i="6"/>
  <c r="F171" i="6"/>
  <c r="D171" i="6"/>
  <c r="C171" i="6"/>
  <c r="B171" i="6"/>
  <c r="B167" i="6" s="1"/>
  <c r="I169" i="6"/>
  <c r="E169" i="6"/>
  <c r="I168" i="6"/>
  <c r="E168" i="6"/>
  <c r="I166" i="6"/>
  <c r="I165" i="6"/>
  <c r="E165" i="6"/>
  <c r="H164" i="6"/>
  <c r="D164" i="6"/>
  <c r="H163" i="6"/>
  <c r="G163" i="6"/>
  <c r="F163" i="6"/>
  <c r="D163" i="6"/>
  <c r="C163" i="6"/>
  <c r="B163" i="6"/>
  <c r="I160" i="6"/>
  <c r="E160" i="6"/>
  <c r="I154" i="6"/>
  <c r="E154" i="6"/>
  <c r="I153" i="6"/>
  <c r="E153" i="6"/>
  <c r="I151" i="6"/>
  <c r="E151" i="6"/>
  <c r="I150" i="6"/>
  <c r="E150" i="6"/>
  <c r="E149" i="6"/>
  <c r="I148" i="6"/>
  <c r="E148" i="6"/>
  <c r="G147" i="6"/>
  <c r="G142" i="6" s="1"/>
  <c r="G141" i="6" s="1"/>
  <c r="F147" i="6"/>
  <c r="C147" i="6"/>
  <c r="B147" i="6"/>
  <c r="H145" i="6"/>
  <c r="H147" i="6" s="1"/>
  <c r="D145" i="6"/>
  <c r="D147" i="6" s="1"/>
  <c r="I144" i="6"/>
  <c r="E144" i="6"/>
  <c r="I143" i="6"/>
  <c r="E143" i="6"/>
  <c r="H140" i="6"/>
  <c r="I140" i="6" s="1"/>
  <c r="D140" i="6"/>
  <c r="D135" i="6" s="1"/>
  <c r="E139" i="6"/>
  <c r="I138" i="6"/>
  <c r="E138" i="6"/>
  <c r="I137" i="6"/>
  <c r="E137" i="6"/>
  <c r="I136" i="6"/>
  <c r="E136" i="6"/>
  <c r="G135" i="6"/>
  <c r="F135" i="6"/>
  <c r="C135" i="6"/>
  <c r="B135" i="6"/>
  <c r="H115" i="6"/>
  <c r="G115" i="6"/>
  <c r="F115" i="6"/>
  <c r="D115" i="6"/>
  <c r="C115" i="6"/>
  <c r="B115" i="6"/>
  <c r="I111" i="6"/>
  <c r="E111" i="6"/>
  <c r="I110" i="6"/>
  <c r="E110" i="6"/>
  <c r="I109" i="6"/>
  <c r="E109" i="6"/>
  <c r="H108" i="6"/>
  <c r="I108" i="6" s="1"/>
  <c r="G108" i="6"/>
  <c r="F108" i="6"/>
  <c r="F104" i="6" s="1"/>
  <c r="D108" i="6"/>
  <c r="C108" i="6"/>
  <c r="B108" i="6"/>
  <c r="B104" i="6" s="1"/>
  <c r="I106" i="6"/>
  <c r="E106" i="6"/>
  <c r="I105" i="6"/>
  <c r="E105" i="6"/>
  <c r="H101" i="6"/>
  <c r="D101" i="6"/>
  <c r="H100" i="6"/>
  <c r="G100" i="6"/>
  <c r="F100" i="6"/>
  <c r="D100" i="6"/>
  <c r="C100" i="6"/>
  <c r="B100" i="6"/>
  <c r="I97" i="6"/>
  <c r="E97" i="6"/>
  <c r="I91" i="6"/>
  <c r="E91" i="6"/>
  <c r="E90" i="6"/>
  <c r="I88" i="6"/>
  <c r="E88" i="6"/>
  <c r="E87" i="6"/>
  <c r="I85" i="6"/>
  <c r="E85" i="6"/>
  <c r="G84" i="6"/>
  <c r="G79" i="6" s="1"/>
  <c r="G78" i="6" s="1"/>
  <c r="F84" i="6"/>
  <c r="F79" i="6" s="1"/>
  <c r="F78" i="6" s="1"/>
  <c r="C84" i="6"/>
  <c r="B84" i="6"/>
  <c r="B79" i="6" s="1"/>
  <c r="B78" i="6" s="1"/>
  <c r="E83" i="6"/>
  <c r="H82" i="6"/>
  <c r="H84" i="6" s="1"/>
  <c r="D82" i="6"/>
  <c r="D84" i="6" s="1"/>
  <c r="I81" i="6"/>
  <c r="E81" i="6"/>
  <c r="I80" i="6"/>
  <c r="E80" i="6"/>
  <c r="H77" i="6"/>
  <c r="H72" i="6" s="1"/>
  <c r="D77" i="6"/>
  <c r="D72" i="6" s="1"/>
  <c r="E72" i="6" s="1"/>
  <c r="I76" i="6"/>
  <c r="E76" i="6"/>
  <c r="I75" i="6"/>
  <c r="E75" i="6"/>
  <c r="I74" i="6"/>
  <c r="E74" i="6"/>
  <c r="I73" i="6"/>
  <c r="E73" i="6"/>
  <c r="G72" i="6"/>
  <c r="F72" i="6"/>
  <c r="C72" i="6"/>
  <c r="B72" i="6"/>
  <c r="H54" i="6"/>
  <c r="G54" i="6"/>
  <c r="F54" i="6"/>
  <c r="D54" i="6"/>
  <c r="C54" i="6"/>
  <c r="B54" i="6"/>
  <c r="I50" i="6"/>
  <c r="E50" i="6"/>
  <c r="I49" i="6"/>
  <c r="E49" i="6"/>
  <c r="I48" i="6"/>
  <c r="E48" i="6"/>
  <c r="H47" i="6"/>
  <c r="G47" i="6"/>
  <c r="F47" i="6"/>
  <c r="F43" i="6" s="1"/>
  <c r="D47" i="6"/>
  <c r="C47" i="6"/>
  <c r="B47" i="6"/>
  <c r="I45" i="6"/>
  <c r="E45" i="6"/>
  <c r="I44" i="6"/>
  <c r="E44" i="6"/>
  <c r="H42" i="6"/>
  <c r="H355" i="6" s="1"/>
  <c r="I355" i="6" s="1"/>
  <c r="I41" i="6"/>
  <c r="H40" i="6"/>
  <c r="D40" i="6"/>
  <c r="H39" i="6"/>
  <c r="G39" i="6"/>
  <c r="F39" i="6"/>
  <c r="D39" i="6"/>
  <c r="C39" i="6"/>
  <c r="C18" i="6" s="1"/>
  <c r="C17" i="6" s="1"/>
  <c r="B39" i="6"/>
  <c r="I37" i="6"/>
  <c r="I36" i="6"/>
  <c r="E36" i="6"/>
  <c r="I30" i="6"/>
  <c r="E30" i="6"/>
  <c r="I29" i="6"/>
  <c r="E29" i="6"/>
  <c r="I28" i="6"/>
  <c r="I27" i="6"/>
  <c r="E27" i="6"/>
  <c r="I26" i="6"/>
  <c r="E26" i="6"/>
  <c r="I25" i="6"/>
  <c r="I24" i="6"/>
  <c r="E24" i="6"/>
  <c r="G23" i="6"/>
  <c r="F23" i="6"/>
  <c r="C23" i="6"/>
  <c r="B23" i="6"/>
  <c r="H21" i="6"/>
  <c r="H23" i="6" s="1"/>
  <c r="D21" i="6"/>
  <c r="I20" i="6"/>
  <c r="E20" i="6"/>
  <c r="I19" i="6"/>
  <c r="E19" i="6"/>
  <c r="H16" i="6"/>
  <c r="H11" i="6" s="1"/>
  <c r="E16" i="6"/>
  <c r="I15" i="6"/>
  <c r="E15" i="6"/>
  <c r="I14" i="6"/>
  <c r="E14" i="6"/>
  <c r="I13" i="6"/>
  <c r="E13" i="6"/>
  <c r="I12" i="6"/>
  <c r="E12" i="6"/>
  <c r="G11" i="6"/>
  <c r="F11" i="6"/>
  <c r="D11" i="6"/>
  <c r="C11" i="6"/>
  <c r="B11" i="6"/>
  <c r="G134" i="5"/>
  <c r="G140" i="5" s="1"/>
  <c r="E134" i="5"/>
  <c r="E140" i="5" s="1"/>
  <c r="L141" i="5"/>
  <c r="L134" i="5"/>
  <c r="L132" i="5"/>
  <c r="K132" i="5"/>
  <c r="L131" i="5"/>
  <c r="K131" i="5"/>
  <c r="L130" i="5"/>
  <c r="K130" i="5"/>
  <c r="L129" i="5"/>
  <c r="K129" i="5"/>
  <c r="K122" i="5"/>
  <c r="K118" i="5"/>
  <c r="L117" i="5"/>
  <c r="K117" i="5"/>
  <c r="K116" i="5"/>
  <c r="K109" i="5"/>
  <c r="K108" i="5"/>
  <c r="K107" i="5"/>
  <c r="K106" i="5"/>
  <c r="K105" i="5"/>
  <c r="L102" i="5"/>
  <c r="K102" i="5"/>
  <c r="K101" i="5"/>
  <c r="K100" i="5"/>
  <c r="K97" i="5"/>
  <c r="K96" i="5"/>
  <c r="K95" i="5"/>
  <c r="L93" i="5"/>
  <c r="K93" i="5"/>
  <c r="K90" i="5"/>
  <c r="L89" i="5"/>
  <c r="K89" i="5"/>
  <c r="K87" i="5"/>
  <c r="L86" i="5"/>
  <c r="K85" i="5"/>
  <c r="L84" i="5"/>
  <c r="K84" i="5"/>
  <c r="K82" i="5"/>
  <c r="K81" i="5"/>
  <c r="L79" i="5"/>
  <c r="K79" i="5"/>
  <c r="K71" i="5"/>
  <c r="L70" i="5"/>
  <c r="K70" i="5"/>
  <c r="L69" i="5"/>
  <c r="K69" i="5"/>
  <c r="L67" i="5"/>
  <c r="K66" i="5"/>
  <c r="K65" i="5"/>
  <c r="K62" i="5"/>
  <c r="K61" i="5"/>
  <c r="K60" i="5"/>
  <c r="K59" i="5"/>
  <c r="K58" i="5"/>
  <c r="L56" i="5"/>
  <c r="K56" i="5"/>
  <c r="K54" i="5"/>
  <c r="K53" i="5"/>
  <c r="L52" i="5"/>
  <c r="K52" i="5"/>
  <c r="K51" i="5"/>
  <c r="K50" i="5"/>
  <c r="K49" i="5"/>
  <c r="K48" i="5"/>
  <c r="K47" i="5"/>
  <c r="K46" i="5"/>
  <c r="K45" i="5"/>
  <c r="K44" i="5"/>
  <c r="L42" i="5"/>
  <c r="K42" i="5"/>
  <c r="K33" i="5"/>
  <c r="K32" i="5"/>
  <c r="L31" i="5"/>
  <c r="K30" i="5"/>
  <c r="L29" i="5"/>
  <c r="K29" i="5"/>
  <c r="K25" i="5"/>
  <c r="K24" i="5"/>
  <c r="K23" i="5"/>
  <c r="K22" i="5"/>
  <c r="K19" i="5"/>
  <c r="K18" i="5"/>
  <c r="K15" i="5"/>
  <c r="K14" i="5"/>
  <c r="K12" i="5"/>
  <c r="K11" i="5"/>
  <c r="K10" i="5"/>
  <c r="K9" i="5"/>
  <c r="K8" i="5"/>
  <c r="K6" i="5"/>
  <c r="J140" i="5"/>
  <c r="H140" i="5"/>
  <c r="F140" i="5"/>
  <c r="J139" i="5"/>
  <c r="H139" i="5"/>
  <c r="F139" i="5"/>
  <c r="J138" i="5"/>
  <c r="H138" i="5"/>
  <c r="F138" i="5"/>
  <c r="I134" i="5"/>
  <c r="I140" i="5" s="1"/>
  <c r="J123" i="5"/>
  <c r="I123" i="5"/>
  <c r="H123" i="5"/>
  <c r="G123" i="5"/>
  <c r="F123" i="5"/>
  <c r="E123" i="5"/>
  <c r="J119" i="5"/>
  <c r="I119" i="5"/>
  <c r="H119" i="5"/>
  <c r="G119" i="5"/>
  <c r="F119" i="5"/>
  <c r="E119" i="5"/>
  <c r="J103" i="5"/>
  <c r="I103" i="5"/>
  <c r="H103" i="5"/>
  <c r="G103" i="5"/>
  <c r="F103" i="5"/>
  <c r="E103" i="5"/>
  <c r="J98" i="5"/>
  <c r="I98" i="5"/>
  <c r="H98" i="5"/>
  <c r="G98" i="5"/>
  <c r="F98" i="5"/>
  <c r="E98" i="5"/>
  <c r="J91" i="5"/>
  <c r="I91" i="5"/>
  <c r="H91" i="5"/>
  <c r="G91" i="5"/>
  <c r="F91" i="5"/>
  <c r="E91" i="5"/>
  <c r="J72" i="5"/>
  <c r="H72" i="5"/>
  <c r="G72" i="5"/>
  <c r="F72" i="5"/>
  <c r="E72" i="5"/>
  <c r="I72" i="5"/>
  <c r="J63" i="5"/>
  <c r="I63" i="5"/>
  <c r="H63" i="5"/>
  <c r="G63" i="5"/>
  <c r="F63" i="5"/>
  <c r="E63" i="5"/>
  <c r="J34" i="5"/>
  <c r="I34" i="5"/>
  <c r="H34" i="5"/>
  <c r="G34" i="5"/>
  <c r="F34" i="5"/>
  <c r="E34" i="5"/>
  <c r="J26" i="5"/>
  <c r="I26" i="5"/>
  <c r="H26" i="5"/>
  <c r="G26" i="5"/>
  <c r="F26" i="5"/>
  <c r="E26" i="5"/>
  <c r="J20" i="5"/>
  <c r="I20" i="5"/>
  <c r="H20" i="5"/>
  <c r="G20" i="5"/>
  <c r="F20" i="5"/>
  <c r="E20" i="5"/>
  <c r="J16" i="5"/>
  <c r="I16" i="5"/>
  <c r="H16" i="5"/>
  <c r="G16" i="5"/>
  <c r="F16" i="5"/>
  <c r="E16" i="5"/>
  <c r="F167" i="6" l="1"/>
  <c r="I47" i="6"/>
  <c r="I326" i="6"/>
  <c r="G324" i="6"/>
  <c r="E11" i="6"/>
  <c r="E39" i="6"/>
  <c r="F232" i="6"/>
  <c r="C356" i="6"/>
  <c r="E178" i="6"/>
  <c r="I325" i="6"/>
  <c r="I327" i="6"/>
  <c r="I341" i="6"/>
  <c r="I343" i="6"/>
  <c r="I39" i="6"/>
  <c r="I304" i="6"/>
  <c r="G352" i="6"/>
  <c r="I339" i="6"/>
  <c r="I328" i="6"/>
  <c r="E352" i="6"/>
  <c r="C142" i="6"/>
  <c r="C141" i="6" s="1"/>
  <c r="E356" i="6"/>
  <c r="E163" i="6"/>
  <c r="E297" i="6"/>
  <c r="H353" i="6"/>
  <c r="I353" i="6" s="1"/>
  <c r="G167" i="6"/>
  <c r="G179" i="6" s="1"/>
  <c r="G182" i="6" s="1"/>
  <c r="C232" i="6"/>
  <c r="C244" i="6" s="1"/>
  <c r="C247" i="6" s="1"/>
  <c r="E324" i="6"/>
  <c r="I349" i="6"/>
  <c r="I11" i="6"/>
  <c r="G207" i="6"/>
  <c r="G206" i="6" s="1"/>
  <c r="F18" i="6"/>
  <c r="F17" i="6" s="1"/>
  <c r="F55" i="6" s="1"/>
  <c r="F58" i="6" s="1"/>
  <c r="I72" i="6"/>
  <c r="H167" i="6"/>
  <c r="I167" i="6" s="1"/>
  <c r="D232" i="6"/>
  <c r="F268" i="6"/>
  <c r="F267" i="6" s="1"/>
  <c r="H293" i="6"/>
  <c r="C293" i="6"/>
  <c r="C305" i="6" s="1"/>
  <c r="C308" i="6" s="1"/>
  <c r="I243" i="6"/>
  <c r="G18" i="6"/>
  <c r="G17" i="6" s="1"/>
  <c r="C43" i="6"/>
  <c r="C55" i="6" s="1"/>
  <c r="C58" i="6" s="1"/>
  <c r="E104" i="6"/>
  <c r="H135" i="6"/>
  <c r="I135" i="6" s="1"/>
  <c r="H142" i="6"/>
  <c r="E200" i="6"/>
  <c r="D207" i="6"/>
  <c r="E207" i="6" s="1"/>
  <c r="I350" i="6"/>
  <c r="G232" i="6"/>
  <c r="E47" i="6"/>
  <c r="B116" i="6"/>
  <c r="B119" i="6" s="1"/>
  <c r="C167" i="6"/>
  <c r="B232" i="6"/>
  <c r="B244" i="6" s="1"/>
  <c r="B247" i="6" s="1"/>
  <c r="I289" i="6"/>
  <c r="H352" i="6"/>
  <c r="I354" i="6"/>
  <c r="C104" i="6"/>
  <c r="D167" i="6"/>
  <c r="E304" i="6"/>
  <c r="F116" i="6"/>
  <c r="F119" i="6" s="1"/>
  <c r="E171" i="6"/>
  <c r="E293" i="6"/>
  <c r="F293" i="6"/>
  <c r="I358" i="6"/>
  <c r="B142" i="6"/>
  <c r="B141" i="6" s="1"/>
  <c r="B179" i="6" s="1"/>
  <c r="B182" i="6" s="1"/>
  <c r="E228" i="6"/>
  <c r="F324" i="6"/>
  <c r="E232" i="6"/>
  <c r="I115" i="6"/>
  <c r="F142" i="6"/>
  <c r="F141" i="6" s="1"/>
  <c r="F179" i="6" s="1"/>
  <c r="F182" i="6" s="1"/>
  <c r="E289" i="6"/>
  <c r="F360" i="6"/>
  <c r="E108" i="6"/>
  <c r="I200" i="6"/>
  <c r="I208" i="6"/>
  <c r="I228" i="6"/>
  <c r="I261" i="6"/>
  <c r="G268" i="6"/>
  <c r="G267" i="6" s="1"/>
  <c r="G293" i="6"/>
  <c r="G360" i="6"/>
  <c r="D79" i="6"/>
  <c r="D78" i="6" s="1"/>
  <c r="E84" i="6"/>
  <c r="B18" i="6"/>
  <c r="B17" i="6" s="1"/>
  <c r="C79" i="6"/>
  <c r="C78" i="6" s="1"/>
  <c r="E115" i="6"/>
  <c r="E135" i="6"/>
  <c r="E212" i="6"/>
  <c r="I335" i="6"/>
  <c r="E360" i="6"/>
  <c r="I362" i="6"/>
  <c r="E367" i="6"/>
  <c r="B305" i="6"/>
  <c r="B308" i="6" s="1"/>
  <c r="D43" i="6"/>
  <c r="E100" i="6"/>
  <c r="D104" i="6"/>
  <c r="C331" i="6"/>
  <c r="C330" i="6" s="1"/>
  <c r="H334" i="6"/>
  <c r="B43" i="6"/>
  <c r="G104" i="6"/>
  <c r="G116" i="6" s="1"/>
  <c r="G119" i="6" s="1"/>
  <c r="I171" i="6"/>
  <c r="I233" i="6"/>
  <c r="I338" i="6"/>
  <c r="I342" i="6"/>
  <c r="F367" i="6"/>
  <c r="E167" i="6"/>
  <c r="E336" i="6"/>
  <c r="I340" i="6"/>
  <c r="G367" i="6"/>
  <c r="I369" i="6"/>
  <c r="I54" i="6"/>
  <c r="I100" i="6"/>
  <c r="H104" i="6"/>
  <c r="I163" i="6"/>
  <c r="H367" i="6"/>
  <c r="I363" i="6"/>
  <c r="G43" i="6"/>
  <c r="F207" i="6"/>
  <c r="F206" i="6" s="1"/>
  <c r="F244" i="6" s="1"/>
  <c r="F247" i="6" s="1"/>
  <c r="H329" i="6"/>
  <c r="I329" i="6" s="1"/>
  <c r="F352" i="6"/>
  <c r="D23" i="6"/>
  <c r="D18" i="6" s="1"/>
  <c r="E18" i="6" s="1"/>
  <c r="E43" i="6"/>
  <c r="E236" i="6"/>
  <c r="B368" i="6"/>
  <c r="B371" i="6" s="1"/>
  <c r="H268" i="6"/>
  <c r="I273" i="6"/>
  <c r="I84" i="6"/>
  <c r="H79" i="6"/>
  <c r="I142" i="6"/>
  <c r="H141" i="6"/>
  <c r="H360" i="6"/>
  <c r="I357" i="6"/>
  <c r="I23" i="6"/>
  <c r="H18" i="6"/>
  <c r="D142" i="6"/>
  <c r="E147" i="6"/>
  <c r="H207" i="6"/>
  <c r="I212" i="6"/>
  <c r="I337" i="6"/>
  <c r="E54" i="6"/>
  <c r="I147" i="6"/>
  <c r="H236" i="6"/>
  <c r="H232" i="6" s="1"/>
  <c r="H43" i="6"/>
  <c r="D261" i="6"/>
  <c r="E261" i="6" s="1"/>
  <c r="H333" i="6"/>
  <c r="I333" i="6" s="1"/>
  <c r="D368" i="6"/>
  <c r="E140" i="6"/>
  <c r="D273" i="6"/>
  <c r="F332" i="6"/>
  <c r="F336" i="6" s="1"/>
  <c r="G332" i="6"/>
  <c r="G336" i="6" s="1"/>
  <c r="I361" i="6"/>
  <c r="K20" i="5"/>
  <c r="K119" i="5"/>
  <c r="L139" i="5"/>
  <c r="L91" i="5"/>
  <c r="G125" i="5"/>
  <c r="G138" i="5" s="1"/>
  <c r="K63" i="5"/>
  <c r="L140" i="5"/>
  <c r="L63" i="5"/>
  <c r="K34" i="5"/>
  <c r="K98" i="5"/>
  <c r="K91" i="5"/>
  <c r="L72" i="5"/>
  <c r="L103" i="5"/>
  <c r="L119" i="5"/>
  <c r="K16" i="5"/>
  <c r="K103" i="5"/>
  <c r="K72" i="5"/>
  <c r="L138" i="5"/>
  <c r="L34" i="5"/>
  <c r="L98" i="5"/>
  <c r="K26" i="5"/>
  <c r="K123" i="5"/>
  <c r="K140" i="5"/>
  <c r="K67" i="5"/>
  <c r="J125" i="5"/>
  <c r="E125" i="5"/>
  <c r="E138" i="5" s="1"/>
  <c r="F125" i="5"/>
  <c r="E139" i="5" s="1"/>
  <c r="H125" i="5"/>
  <c r="G139" i="5" s="1"/>
  <c r="K134" i="5"/>
  <c r="I125" i="5"/>
  <c r="F39" i="4"/>
  <c r="C368" i="6" l="1"/>
  <c r="C371" i="6" s="1"/>
  <c r="H179" i="6"/>
  <c r="I179" i="6" s="1"/>
  <c r="C179" i="6"/>
  <c r="C182" i="6" s="1"/>
  <c r="I293" i="6"/>
  <c r="G305" i="6"/>
  <c r="G308" i="6" s="1"/>
  <c r="F331" i="6"/>
  <c r="F330" i="6" s="1"/>
  <c r="F305" i="6"/>
  <c r="F308" i="6" s="1"/>
  <c r="I352" i="6"/>
  <c r="G331" i="6"/>
  <c r="G330" i="6" s="1"/>
  <c r="D206" i="6"/>
  <c r="E206" i="6" s="1"/>
  <c r="G55" i="6"/>
  <c r="G58" i="6" s="1"/>
  <c r="I232" i="6"/>
  <c r="F356" i="6"/>
  <c r="G356" i="6"/>
  <c r="G244" i="6"/>
  <c r="G247" i="6" s="1"/>
  <c r="I104" i="6"/>
  <c r="D116" i="6"/>
  <c r="D119" i="6" s="1"/>
  <c r="E23" i="6"/>
  <c r="H324" i="6"/>
  <c r="I324" i="6" s="1"/>
  <c r="D17" i="6"/>
  <c r="D55" i="6" s="1"/>
  <c r="C116" i="6"/>
  <c r="C119" i="6" s="1"/>
  <c r="I367" i="6"/>
  <c r="B55" i="6"/>
  <c r="B58" i="6" s="1"/>
  <c r="I43" i="6"/>
  <c r="H336" i="6"/>
  <c r="I336" i="6" s="1"/>
  <c r="E330" i="6"/>
  <c r="E79" i="6"/>
  <c r="E331" i="6"/>
  <c r="H267" i="6"/>
  <c r="I268" i="6"/>
  <c r="E368" i="6"/>
  <c r="D371" i="6"/>
  <c r="E371" i="6" s="1"/>
  <c r="I332" i="6"/>
  <c r="I207" i="6"/>
  <c r="H206" i="6"/>
  <c r="H356" i="6"/>
  <c r="I360" i="6"/>
  <c r="E273" i="6"/>
  <c r="D268" i="6"/>
  <c r="D141" i="6"/>
  <c r="D179" i="6" s="1"/>
  <c r="E142" i="6"/>
  <c r="I18" i="6"/>
  <c r="H17" i="6"/>
  <c r="I79" i="6"/>
  <c r="H78" i="6"/>
  <c r="H116" i="6" s="1"/>
  <c r="G141" i="5"/>
  <c r="E141" i="5"/>
  <c r="I138" i="5"/>
  <c r="K125" i="5"/>
  <c r="I139" i="5"/>
  <c r="K139" i="5" s="1"/>
  <c r="L125" i="5"/>
  <c r="F69" i="4"/>
  <c r="F68" i="4"/>
  <c r="F67" i="4"/>
  <c r="F66" i="4"/>
  <c r="F65" i="4"/>
  <c r="F64" i="4"/>
  <c r="F63" i="4"/>
  <c r="F59" i="4"/>
  <c r="F58" i="4"/>
  <c r="F56" i="4"/>
  <c r="F53" i="4"/>
  <c r="F52" i="4"/>
  <c r="F51" i="4"/>
  <c r="F48" i="4"/>
  <c r="F47" i="4"/>
  <c r="F46" i="4"/>
  <c r="F45" i="4"/>
  <c r="F44" i="4"/>
  <c r="F43" i="4"/>
  <c r="F42" i="4"/>
  <c r="F41" i="4"/>
  <c r="F40" i="4"/>
  <c r="F33" i="4"/>
  <c r="F32" i="4"/>
  <c r="F31" i="4"/>
  <c r="F28" i="4"/>
  <c r="F27" i="4"/>
  <c r="F26" i="4"/>
  <c r="F25" i="4"/>
  <c r="F24" i="4"/>
  <c r="F23" i="4"/>
  <c r="F22" i="4"/>
  <c r="F21" i="4"/>
  <c r="F20" i="4"/>
  <c r="F19" i="4"/>
  <c r="F18" i="4"/>
  <c r="F15" i="4"/>
  <c r="F14" i="4"/>
  <c r="F13" i="4"/>
  <c r="F12" i="4"/>
  <c r="F11" i="4"/>
  <c r="F10" i="4"/>
  <c r="F9" i="4"/>
  <c r="F8" i="4"/>
  <c r="E61" i="4"/>
  <c r="C65" i="4"/>
  <c r="C61" i="4" s="1"/>
  <c r="D61" i="4"/>
  <c r="E54" i="4"/>
  <c r="F54" i="4" s="1"/>
  <c r="D54" i="4"/>
  <c r="C54" i="4"/>
  <c r="E50" i="4"/>
  <c r="D50" i="4"/>
  <c r="C50" i="4"/>
  <c r="E30" i="4"/>
  <c r="E29" i="4" s="1"/>
  <c r="F29" i="4" s="1"/>
  <c r="D30" i="4"/>
  <c r="D29" i="4" s="1"/>
  <c r="C30" i="4"/>
  <c r="C29" i="4" s="1"/>
  <c r="E17" i="4"/>
  <c r="D17" i="4"/>
  <c r="F17" i="4" s="1"/>
  <c r="C17" i="4"/>
  <c r="E6" i="4"/>
  <c r="D6" i="4"/>
  <c r="C6" i="4"/>
  <c r="H182" i="6" l="1"/>
  <c r="I182" i="6" s="1"/>
  <c r="D244" i="6"/>
  <c r="E244" i="6" s="1"/>
  <c r="G368" i="6"/>
  <c r="G371" i="6" s="1"/>
  <c r="F368" i="6"/>
  <c r="F371" i="6" s="1"/>
  <c r="D247" i="6"/>
  <c r="E247" i="6" s="1"/>
  <c r="I356" i="6"/>
  <c r="E17" i="6"/>
  <c r="H331" i="6"/>
  <c r="I331" i="6" s="1"/>
  <c r="E119" i="6"/>
  <c r="E116" i="6"/>
  <c r="H244" i="6"/>
  <c r="I206" i="6"/>
  <c r="I116" i="6"/>
  <c r="H119" i="6"/>
  <c r="I119" i="6" s="1"/>
  <c r="E179" i="6"/>
  <c r="D182" i="6"/>
  <c r="E182" i="6" s="1"/>
  <c r="H55" i="6"/>
  <c r="I17" i="6"/>
  <c r="H305" i="6"/>
  <c r="I267" i="6"/>
  <c r="E55" i="6"/>
  <c r="D58" i="6"/>
  <c r="E58" i="6" s="1"/>
  <c r="E268" i="6"/>
  <c r="D267" i="6"/>
  <c r="I141" i="5"/>
  <c r="K141" i="5" s="1"/>
  <c r="K138" i="5"/>
  <c r="C5" i="4"/>
  <c r="C71" i="4" s="1"/>
  <c r="F50" i="4"/>
  <c r="D5" i="4"/>
  <c r="D71" i="4" s="1"/>
  <c r="F61" i="4"/>
  <c r="F6" i="4"/>
  <c r="F30" i="4"/>
  <c r="E5" i="4"/>
  <c r="H330" i="6" l="1"/>
  <c r="H368" i="6" s="1"/>
  <c r="H247" i="6"/>
  <c r="I247" i="6" s="1"/>
  <c r="I244" i="6"/>
  <c r="E267" i="6"/>
  <c r="D305" i="6"/>
  <c r="I55" i="6"/>
  <c r="H58" i="6"/>
  <c r="I58" i="6" s="1"/>
  <c r="H308" i="6"/>
  <c r="I308" i="6" s="1"/>
  <c r="I305" i="6"/>
  <c r="E71" i="4"/>
  <c r="F71" i="4" s="1"/>
  <c r="F5" i="4"/>
  <c r="I330" i="6" l="1"/>
  <c r="H371" i="6"/>
  <c r="I371" i="6" s="1"/>
  <c r="I368" i="6"/>
  <c r="D308" i="6"/>
  <c r="E308" i="6" s="1"/>
  <c r="E305" i="6"/>
</calcChain>
</file>

<file path=xl/sharedStrings.xml><?xml version="1.0" encoding="utf-8"?>
<sst xmlns="http://schemas.openxmlformats.org/spreadsheetml/2006/main" count="780" uniqueCount="318">
  <si>
    <t>Tab. č. 1/1                      v EUR</t>
  </si>
  <si>
    <t>U k a z o v a t e ľ</t>
  </si>
  <si>
    <t>Schválený rozpočet 2024</t>
  </si>
  <si>
    <t>BEŽNÉ  PRÍJMY:</t>
  </si>
  <si>
    <t xml:space="preserve">100 Daňové príjmy </t>
  </si>
  <si>
    <t>Miestne dane</t>
  </si>
  <si>
    <t xml:space="preserve"> - za psa</t>
  </si>
  <si>
    <t xml:space="preserve"> - za užívanie verejného priestranstva </t>
  </si>
  <si>
    <t xml:space="preserve">   z toho za vyhradené parkovanie</t>
  </si>
  <si>
    <t xml:space="preserve"> - za nevýherné hracie prístroje </t>
  </si>
  <si>
    <t xml:space="preserve"> - za predajné automaty </t>
  </si>
  <si>
    <t>Podiel na výnose dane z príjmov fyzických osôb</t>
  </si>
  <si>
    <t>Podiel na dani z nehnuteľností</t>
  </si>
  <si>
    <t>Podiel na poplatku za komunálny odpad</t>
  </si>
  <si>
    <t>Poplatok za rozvoj</t>
  </si>
  <si>
    <t xml:space="preserve">200 Nedaňové príjmy </t>
  </si>
  <si>
    <t>Príjmy z prenájmu majetku - pozemky</t>
  </si>
  <si>
    <t>Príjmy z prenájmu majetku - Veolia Energia Slovensko</t>
  </si>
  <si>
    <t>Príjmy z prenájmu majetku - budovy MČ</t>
  </si>
  <si>
    <t>Príjmy z prenájmu - byty</t>
  </si>
  <si>
    <t>Príjmy z prenájmu - nebytové priestory, garáže, objekty</t>
  </si>
  <si>
    <t>Úroky</t>
  </si>
  <si>
    <t xml:space="preserve">Ostatné nedaňové príjmy </t>
  </si>
  <si>
    <t>Príjmy materských škôl</t>
  </si>
  <si>
    <t>v tom príjmy z poplatkov za stravovanie</t>
  </si>
  <si>
    <t>Príjmy z podnikateľskej činnosti</t>
  </si>
  <si>
    <t xml:space="preserve">300 Granty a transfery </t>
  </si>
  <si>
    <t>Dotácie zo štátneho rozpočtu</t>
  </si>
  <si>
    <t xml:space="preserve"> v tom:    školstvo</t>
  </si>
  <si>
    <t xml:space="preserve">              sociálna starostlivosť - činnosť ZOS</t>
  </si>
  <si>
    <t xml:space="preserve">              zariad. núdzového bývania</t>
  </si>
  <si>
    <t>Tab. č. 1/2                     v EUR</t>
  </si>
  <si>
    <t xml:space="preserve">              štátne sociálne dávky</t>
  </si>
  <si>
    <t xml:space="preserve">              stavebný poriadok</t>
  </si>
  <si>
    <t xml:space="preserve">              špeciálny stavebný úrad</t>
  </si>
  <si>
    <t xml:space="preserve">              matrika</t>
  </si>
  <si>
    <t xml:space="preserve">              štátny fond rozvoja bývania</t>
  </si>
  <si>
    <t xml:space="preserve">              školský úrad</t>
  </si>
  <si>
    <t xml:space="preserve">              ohlasovňa pobytu a register adries</t>
  </si>
  <si>
    <t xml:space="preserve">              ochrana prírody a krajiny</t>
  </si>
  <si>
    <t>Granty, sponzorské dary</t>
  </si>
  <si>
    <t>Dotácie - prostriedky EU a ŠR na projekty, voľby</t>
  </si>
  <si>
    <t>Príjmy rozpočtových organizácií</t>
  </si>
  <si>
    <t xml:space="preserve">Príjmy organizácií školstva </t>
  </si>
  <si>
    <t>Príjmy ostatných rozpočtových organizácií</t>
  </si>
  <si>
    <t>KAPITÁLOVÉ  PRÍJMY:</t>
  </si>
  <si>
    <t>230 Príjmy z  predaja majetku</t>
  </si>
  <si>
    <t xml:space="preserve"> - z predaja majetku mestskej časti</t>
  </si>
  <si>
    <t xml:space="preserve"> - podiel na výnose z predaja majetku hl. mesta</t>
  </si>
  <si>
    <t>320 Kapitálové transfery</t>
  </si>
  <si>
    <t>FINANČNÉ OPERÁCIE:</t>
  </si>
  <si>
    <t>400 Prostriedky prevedené</t>
  </si>
  <si>
    <t xml:space="preserve"> - z Fondu rozvoja bývania</t>
  </si>
  <si>
    <t xml:space="preserve"> - z Konta zelene</t>
  </si>
  <si>
    <t xml:space="preserve"> - z Rezervného fondu</t>
  </si>
  <si>
    <t xml:space="preserve"> - zo zostatku dotácií z predchádzajúcich rokov</t>
  </si>
  <si>
    <t>500 Úver, návratná finančná výpomoc zo ŠR</t>
  </si>
  <si>
    <t xml:space="preserve">400 Prostriedky min. rokov rozpočtových ogranizácií </t>
  </si>
  <si>
    <t xml:space="preserve">400 Prijaté zábezpeky a iné </t>
  </si>
  <si>
    <t>PRÍJMY  SPOLU</t>
  </si>
  <si>
    <t>Skutočnosť k 30.6.2024</t>
  </si>
  <si>
    <t>% plnenia</t>
  </si>
  <si>
    <t>Správne a administratívne poplatky</t>
  </si>
  <si>
    <t>Plnenie rozpočtu príjmov</t>
  </si>
  <si>
    <t>mestskej časti Bratislava-Petržalka k 30.6.2024</t>
  </si>
  <si>
    <t>Rozpočet po zmenách 2024</t>
  </si>
  <si>
    <t>Plnenie rozpočtu výdavkov mestskej časti Bratislava-Petržalka k 30.6.2024</t>
  </si>
  <si>
    <t>Tab. č. 2/1             v EUR</t>
  </si>
  <si>
    <r>
      <t>Číslo</t>
    </r>
    <r>
      <rPr>
        <b/>
        <sz val="11"/>
        <rFont val="Arial"/>
        <family val="2"/>
        <charset val="238"/>
      </rPr>
      <t xml:space="preserve"> programu</t>
    </r>
  </si>
  <si>
    <t xml:space="preserve">Názov programu </t>
  </si>
  <si>
    <t>Bežné výd. 600</t>
  </si>
  <si>
    <t>Kap. výd.      700</t>
  </si>
  <si>
    <t>1</t>
  </si>
  <si>
    <t>Rozhodovanie, manažment a kontrola</t>
  </si>
  <si>
    <t>Výkon funkcie poslancov a miestneho zastupiteľstva</t>
  </si>
  <si>
    <t>Manažment</t>
  </si>
  <si>
    <t>Výkon funkcie starostu</t>
  </si>
  <si>
    <t>2</t>
  </si>
  <si>
    <t>Výkon funkcie zástupcov starostu</t>
  </si>
  <si>
    <t>3</t>
  </si>
  <si>
    <t>Výkon funkcie prednostu</t>
  </si>
  <si>
    <t>Výkon funkcie miestneho kontrolóra</t>
  </si>
  <si>
    <t>Stratégia a riadenie projektov</t>
  </si>
  <si>
    <t>Podpora organizácií</t>
  </si>
  <si>
    <t>Podpora neziskových organizácií</t>
  </si>
  <si>
    <t>Podpora veľkých športových klubov</t>
  </si>
  <si>
    <t>Program č. 1 spolu</t>
  </si>
  <si>
    <t>Moderný miestny úrad</t>
  </si>
  <si>
    <t>Zabezpeč. chodu informačného systému</t>
  </si>
  <si>
    <t>Úrad ako podpora</t>
  </si>
  <si>
    <t>Program č. 2 spolu</t>
  </si>
  <si>
    <t>Služby občanom</t>
  </si>
  <si>
    <t xml:space="preserve">Matrika </t>
  </si>
  <si>
    <t>Ohlasovňa pobytu</t>
  </si>
  <si>
    <t>Sobáše a občianske obrady</t>
  </si>
  <si>
    <t>Propagácia mestskej časti</t>
  </si>
  <si>
    <t>Program č. 3 spolu</t>
  </si>
  <si>
    <t>4</t>
  </si>
  <si>
    <t>Doprava a komunikácie</t>
  </si>
  <si>
    <t>Miestne komunikácie a chodníky</t>
  </si>
  <si>
    <t>Oprava a obnova komunikácií</t>
  </si>
  <si>
    <t>Zabezpeč. vyhradeného parkovania</t>
  </si>
  <si>
    <t>Výst. chodníkov, komunik.a cyklotrás</t>
  </si>
  <si>
    <t>Projekt zjednosmernenia ulíc</t>
  </si>
  <si>
    <t>5</t>
  </si>
  <si>
    <t xml:space="preserve">Parkovanie </t>
  </si>
  <si>
    <t>Program č. 4 spolu</t>
  </si>
  <si>
    <t>Tab. č. 2/2              v EUR</t>
  </si>
  <si>
    <t>Vzdelávanie</t>
  </si>
  <si>
    <t>Predškolské vzdelávanie</t>
  </si>
  <si>
    <t>Materské školy</t>
  </si>
  <si>
    <t>Vzdelávanie v základných školách</t>
  </si>
  <si>
    <t>ZŠ Budatínska</t>
  </si>
  <si>
    <t xml:space="preserve">ZŠ Černyševského </t>
  </si>
  <si>
    <t xml:space="preserve">ZŠ Dudova </t>
  </si>
  <si>
    <t>ZŠ Gessayova</t>
  </si>
  <si>
    <t xml:space="preserve">ZŠ Holíčska </t>
  </si>
  <si>
    <t>6</t>
  </si>
  <si>
    <t xml:space="preserve">ZŠ Lachova </t>
  </si>
  <si>
    <t>7</t>
  </si>
  <si>
    <t>ZŠ Nobelovo nám.</t>
  </si>
  <si>
    <t>8</t>
  </si>
  <si>
    <t xml:space="preserve">ZŠ Pankúchova </t>
  </si>
  <si>
    <t>9</t>
  </si>
  <si>
    <t xml:space="preserve">ZŠ Prokofievova </t>
  </si>
  <si>
    <t>10</t>
  </si>
  <si>
    <t xml:space="preserve">ZŠ Tupolevova </t>
  </si>
  <si>
    <t>11</t>
  </si>
  <si>
    <t xml:space="preserve">ZŠ Turnianska </t>
  </si>
  <si>
    <t xml:space="preserve">Zlepšenie technic. stavu budov </t>
  </si>
  <si>
    <t xml:space="preserve">Projekt Zlepšenie technic. stavu budov </t>
  </si>
  <si>
    <t>Rozvoj kapacít MŠ</t>
  </si>
  <si>
    <t>Riadenie kvality vzdelávania</t>
  </si>
  <si>
    <t>Podpora voľnočasových aktivít v ZŠ</t>
  </si>
  <si>
    <t>Školské stravovanie v ZŠ</t>
  </si>
  <si>
    <t xml:space="preserve">Školský úrad </t>
  </si>
  <si>
    <t>Podujatia žiakov ZŠ a MŠ</t>
  </si>
  <si>
    <t>Program č. 5 spolu</t>
  </si>
  <si>
    <t>Kultúra a šport</t>
  </si>
  <si>
    <t xml:space="preserve">Miestna knižnica Petržalka </t>
  </si>
  <si>
    <t xml:space="preserve">Kultúrne zariadenia Petržalky </t>
  </si>
  <si>
    <t>Kultúrne podujatia</t>
  </si>
  <si>
    <t>Podpora športu</t>
  </si>
  <si>
    <t>Športové podujatia</t>
  </si>
  <si>
    <t>Rozvoj športovej infraštruktúry</t>
  </si>
  <si>
    <t>Športové zariadenia Petržalky</t>
  </si>
  <si>
    <t>Program č. 6 spolu</t>
  </si>
  <si>
    <t>Tab. č. 2/3               v EUR</t>
  </si>
  <si>
    <t>Životné prostredie</t>
  </si>
  <si>
    <t>Starostlivosť o zeleň</t>
  </si>
  <si>
    <t>Tvorba parkov a zelených plôch</t>
  </si>
  <si>
    <t xml:space="preserve">Projekt Revitalizácie predzáhradiek </t>
  </si>
  <si>
    <t>Výsadba drevín a záhonov</t>
  </si>
  <si>
    <t>Verejné priestranstvá</t>
  </si>
  <si>
    <t>Údržba a čistota verej. priestranstiev</t>
  </si>
  <si>
    <t>Starostlivosť o psov</t>
  </si>
  <si>
    <t>Dotváranie a bud. kontajner. stanovíšť</t>
  </si>
  <si>
    <t>Likvidácia nelegálnych skládok odpadu</t>
  </si>
  <si>
    <t>Podnikateľská a ostatná činnosť</t>
  </si>
  <si>
    <t>Podnikateľská činnosť</t>
  </si>
  <si>
    <t xml:space="preserve">Ostatná činnosť </t>
  </si>
  <si>
    <t>Program č. 7 spolu</t>
  </si>
  <si>
    <t>Územný rozvoj</t>
  </si>
  <si>
    <t>Urbanistické štúdie a územné plány zón</t>
  </si>
  <si>
    <t>Kvalitné a včasné stavebné konanie</t>
  </si>
  <si>
    <t>Stavebný úrad</t>
  </si>
  <si>
    <t>Špeciálny stavebný úrad</t>
  </si>
  <si>
    <t>Štátny fond rozvoja bývania</t>
  </si>
  <si>
    <t>Program č. 8 spolu</t>
  </si>
  <si>
    <t>Nakladanie s majetkom a bývanie</t>
  </si>
  <si>
    <t>Obecné byty</t>
  </si>
  <si>
    <t>Nebytové priestory</t>
  </si>
  <si>
    <t>Obnova a údržba majetku</t>
  </si>
  <si>
    <t>Program č. 9 spolu</t>
  </si>
  <si>
    <t>Sociálna pomoc a sociálne služby</t>
  </si>
  <si>
    <t>Starostlivosť o seniorov</t>
  </si>
  <si>
    <t>Starostlivosť o rodinu a deti</t>
  </si>
  <si>
    <t>Poskytovanie dávok sociálnej pomoci</t>
  </si>
  <si>
    <t>Pochovávanie občanov</t>
  </si>
  <si>
    <t>Prenes.výkon št.správy v soc. oblasti</t>
  </si>
  <si>
    <t>Tab. č. 2/4              v EUR</t>
  </si>
  <si>
    <t>Stredisko sociálnych služieb</t>
  </si>
  <si>
    <t>Zariadenia sociálnych služieb</t>
  </si>
  <si>
    <t>Správa Strediska sociálnych služieb</t>
  </si>
  <si>
    <t xml:space="preserve">Sociálne služby </t>
  </si>
  <si>
    <t>Program č. 10 spolu</t>
  </si>
  <si>
    <t>Bezpečnosť a poriadok</t>
  </si>
  <si>
    <t>Podpora mestskej polície</t>
  </si>
  <si>
    <t>Ochrana obecného majetku</t>
  </si>
  <si>
    <t>Program č. 11 spolu</t>
  </si>
  <si>
    <t>Spolu</t>
  </si>
  <si>
    <t>800 Výdavkové finančné operácie</t>
  </si>
  <si>
    <t>Splátky finančného prenájmu</t>
  </si>
  <si>
    <t>Splátky úverov a návrat. fin. výpomocí</t>
  </si>
  <si>
    <t>Splátky finančného prenájmu ŚFRB</t>
  </si>
  <si>
    <t>Vrátené zábezpeky</t>
  </si>
  <si>
    <t>Sumarizácia výdavkov</t>
  </si>
  <si>
    <t>Bežné výdavky</t>
  </si>
  <si>
    <t>Kapitálové výdavky</t>
  </si>
  <si>
    <t>Výdavkové finančné operácie</t>
  </si>
  <si>
    <t>Výdavky spolu</t>
  </si>
  <si>
    <t>Plnenie rozpočtu príjmov a výdavkov základných  škôl</t>
  </si>
  <si>
    <t xml:space="preserve"> k 30.06.2024</t>
  </si>
  <si>
    <t>Tab. č. 5/1</t>
  </si>
  <si>
    <t>v EUR</t>
  </si>
  <si>
    <t>Ukazovateľ</t>
  </si>
  <si>
    <t xml:space="preserve">ZŠ Budatínska </t>
  </si>
  <si>
    <t>ZŠ Černyševského</t>
  </si>
  <si>
    <t xml:space="preserve">Rozpočet 2024 po zmenách </t>
  </si>
  <si>
    <t>Skutočnosť   k 30.06.2024</t>
  </si>
  <si>
    <t>B E Ž N É  P R Í J M Y  S P O L U</t>
  </si>
  <si>
    <t>poplatky</t>
  </si>
  <si>
    <t>stravné</t>
  </si>
  <si>
    <t>prenájmy</t>
  </si>
  <si>
    <t>príspevok na nákup potravín</t>
  </si>
  <si>
    <t>Iné- granty,dobropisy,úroky</t>
  </si>
  <si>
    <t>Bežné výdavky pre ZŠ spolu 5.2.x.</t>
  </si>
  <si>
    <t>Bežné výdavky zo ŠR spolu</t>
  </si>
  <si>
    <t>ZŠ mzdy a odvody ŠR</t>
  </si>
  <si>
    <t>ZŠ tovary a služby ŠR</t>
  </si>
  <si>
    <t xml:space="preserve">ZŠ tovary a služby ŠR z min.roku </t>
  </si>
  <si>
    <t xml:space="preserve">ZŠ mzdy deti ukr. jazyk kurz </t>
  </si>
  <si>
    <r>
      <rPr>
        <b/>
        <i/>
        <u/>
        <sz val="10"/>
        <rFont val="Arial CE"/>
        <charset val="238"/>
      </rPr>
      <t>BV normatívne</t>
    </r>
    <r>
      <rPr>
        <b/>
        <i/>
        <sz val="10"/>
        <rFont val="Arial CE"/>
        <charset val="238"/>
      </rPr>
      <t xml:space="preserve"> na prenes. komp. zo ŠR  spolu</t>
    </r>
  </si>
  <si>
    <t xml:space="preserve">vzdelávacie poukazy </t>
  </si>
  <si>
    <t>odchodné</t>
  </si>
  <si>
    <t xml:space="preserve">asistent učiteľa </t>
  </si>
  <si>
    <t>lyžiarsky kurz</t>
  </si>
  <si>
    <t>sociál. znevýhod. prostr.</t>
  </si>
  <si>
    <t>prísp.na učebnice /eduk.publik/</t>
  </si>
  <si>
    <t>škola v prírode</t>
  </si>
  <si>
    <t xml:space="preserve">školský  digitálny koordin </t>
  </si>
  <si>
    <t xml:space="preserve">rozvojový projekt </t>
  </si>
  <si>
    <t xml:space="preserve">podpora digit. transform. </t>
  </si>
  <si>
    <t>RP čítame pre radosť+PES</t>
  </si>
  <si>
    <t>mimoriadne výsledky žiakov</t>
  </si>
  <si>
    <t xml:space="preserve">podp začlen EŠIF </t>
  </si>
  <si>
    <t xml:space="preserve">zdrav.prac - POO    </t>
  </si>
  <si>
    <t xml:space="preserve">profes.rozvoj PZ a OZ </t>
  </si>
  <si>
    <r>
      <rPr>
        <b/>
        <i/>
        <u/>
        <sz val="10"/>
        <rFont val="Arial CE"/>
        <charset val="238"/>
      </rPr>
      <t>Nenormatívne výd.</t>
    </r>
    <r>
      <rPr>
        <b/>
        <i/>
        <sz val="10"/>
        <rFont val="Arial CE"/>
        <charset val="238"/>
      </rPr>
      <t xml:space="preserve"> zo ŠR spolu</t>
    </r>
  </si>
  <si>
    <r>
      <rPr>
        <b/>
        <i/>
        <u/>
        <sz val="10"/>
        <rFont val="Arial CE"/>
        <charset val="238"/>
      </rPr>
      <t>Iné prostr.</t>
    </r>
    <r>
      <rPr>
        <b/>
        <i/>
        <sz val="10"/>
        <rFont val="Arial CE"/>
        <charset val="238"/>
      </rPr>
      <t xml:space="preserve"> zo ŠR </t>
    </r>
  </si>
  <si>
    <t>ZŠ z rozpočtu MČ</t>
  </si>
  <si>
    <t>ZŠ granty</t>
  </si>
  <si>
    <t>Bežné výdavky  pre ŠKD a ŠJ spolu 5.5. 5.6.</t>
  </si>
  <si>
    <t>5.5. ŠKD  -mzdy a odvody</t>
  </si>
  <si>
    <t>5.5. ŠKD - tovary a služby</t>
  </si>
  <si>
    <t>5.5. ŠKD granty</t>
  </si>
  <si>
    <t>5.5.           SPOLU ŠKD</t>
  </si>
  <si>
    <t>5.6. ŠJ - mzdy a odvody</t>
  </si>
  <si>
    <t>5.6. ŠJ-tovary a služby</t>
  </si>
  <si>
    <t>5.6. Bež.výd.na potr.od rodičov a CS</t>
  </si>
  <si>
    <t>5.6. Bež.výd.na potr.- dotácia ŠR</t>
  </si>
  <si>
    <t>5.6. Bež.výd.na potr.-dot.ŠR min.r.</t>
  </si>
  <si>
    <t>5.6. ŠJ granty</t>
  </si>
  <si>
    <t>5.6.           SPOLU ŠJ</t>
  </si>
  <si>
    <t>BEŽNÉ VÝDAVKY S P O L U</t>
  </si>
  <si>
    <t xml:space="preserve">Kapitál. výdavky zo  ŠR </t>
  </si>
  <si>
    <t>Kapitál. výdavky z  MČ</t>
  </si>
  <si>
    <t>VÝDAVKY    C E L K O M</t>
  </si>
  <si>
    <t>na úseku školstva k 30.06.2024</t>
  </si>
  <si>
    <t>Tab. č. 5/2</t>
  </si>
  <si>
    <t>ZŠ Dudova</t>
  </si>
  <si>
    <t xml:space="preserve">  ZŠ Gessayova</t>
  </si>
  <si>
    <t>ZŠ mzdy deti ukr. Jazyk kurz11UA</t>
  </si>
  <si>
    <t>Tab. č. 5/3</t>
  </si>
  <si>
    <t>ZŠ Lachova</t>
  </si>
  <si>
    <t>ZŠ tovary a služby ŠR z min.roku</t>
  </si>
  <si>
    <t>Tab. č. 5/4</t>
  </si>
  <si>
    <t>Tab. č. 5/5</t>
  </si>
  <si>
    <t>ZŠ Prokofievova</t>
  </si>
  <si>
    <t>ZŠ Tupolevova</t>
  </si>
  <si>
    <t>BEŽNÉ VÝDAVKY SPOLU</t>
  </si>
  <si>
    <t>Tab. č. 5/6</t>
  </si>
  <si>
    <t>Základné školy  - spolu</t>
  </si>
  <si>
    <t>Prijaté zábezpeky</t>
  </si>
  <si>
    <t xml:space="preserve"> mestskej časti Bratislava-Petržalka na úseku kultúry</t>
  </si>
  <si>
    <t>Tab. č. 3                v EUR</t>
  </si>
  <si>
    <t>Kultúrne zariadenia Petržalky</t>
  </si>
  <si>
    <t xml:space="preserve">Transfer z rozpočtu MČ na prevádzku       </t>
  </si>
  <si>
    <t xml:space="preserve">v tom program : </t>
  </si>
  <si>
    <t xml:space="preserve">      6.2 - činnosť KZP</t>
  </si>
  <si>
    <t xml:space="preserve">      6.3 - Kultúrne podujatia - DK, kultúrne leto</t>
  </si>
  <si>
    <t xml:space="preserve">      6.3 - Kultúrne podujatia - Seniorfest</t>
  </si>
  <si>
    <t xml:space="preserve">      6.3 - Kult. podujatia - Petrž.ples </t>
  </si>
  <si>
    <t xml:space="preserve">      6.3 - Kultúrne podujatia - Petrž. Vianoč.trhy</t>
  </si>
  <si>
    <t xml:space="preserve">Granty a transfery z iných zdrojov </t>
  </si>
  <si>
    <t xml:space="preserve">Transf. z rozpočtu MČ na investície - progr. 6.2      </t>
  </si>
  <si>
    <t xml:space="preserve">Bežné výdavky spolu                                                </t>
  </si>
  <si>
    <t xml:space="preserve">- z toho mzdové výdavky                                    </t>
  </si>
  <si>
    <t xml:space="preserve">Kapitálové výdavky                                            </t>
  </si>
  <si>
    <t xml:space="preserve">Príjmy bežné                                                              </t>
  </si>
  <si>
    <t>Príjmové finančné operácie</t>
  </si>
  <si>
    <t>Miestna knižnica Petržalka</t>
  </si>
  <si>
    <t>Transfer z rozp. MČ na prevádzku - progr. 6.1</t>
  </si>
  <si>
    <t xml:space="preserve">Transfer z rozp. MČ na investície - progr. 6.1       </t>
  </si>
  <si>
    <t xml:space="preserve">Príjmy bežné                                          </t>
  </si>
  <si>
    <t>Tab. č. 4                 v EUR</t>
  </si>
  <si>
    <t xml:space="preserve">Transfer z rozpočtu MČ na prevádzku    </t>
  </si>
  <si>
    <t xml:space="preserve">Transfer zo ŠR a EÚ na prevádzku </t>
  </si>
  <si>
    <t>Transfer z rozpočtu MČ na investície</t>
  </si>
  <si>
    <t xml:space="preserve">Bežné výdavky                                                 </t>
  </si>
  <si>
    <t xml:space="preserve">- z toho mzdové výdavky                         </t>
  </si>
  <si>
    <t xml:space="preserve">Kapitálové výdavky                                                 </t>
  </si>
  <si>
    <t xml:space="preserve">Príjmy bežné                                                         </t>
  </si>
  <si>
    <t xml:space="preserve"> - z toho dotácia z EÚ a zo ŠR na opatrovateľskú službu</t>
  </si>
  <si>
    <t xml:space="preserve">v tom progr. 10.6.2 - Správa organizácie </t>
  </si>
  <si>
    <t xml:space="preserve"> bežné výdavky spolu</t>
  </si>
  <si>
    <t>kapitálové výdavky</t>
  </si>
  <si>
    <t xml:space="preserve"> príjmy bežné</t>
  </si>
  <si>
    <t>Progr. 10.6.1</t>
  </si>
  <si>
    <t>Zariadenie opatrovateľskej starostlivosti</t>
  </si>
  <si>
    <t xml:space="preserve"> - z toho zo ŠR</t>
  </si>
  <si>
    <t>Opatrovateľská služba</t>
  </si>
  <si>
    <t>bežné výdavky spolu</t>
  </si>
  <si>
    <t xml:space="preserve"> - z toho zo ŠR a EÚ</t>
  </si>
  <si>
    <t>Domov pre rodičov a deti</t>
  </si>
  <si>
    <t xml:space="preserve">Prepravná služba          </t>
  </si>
  <si>
    <t>Čerpanie záväzných ukazovateľov rozpočtových organizácií</t>
  </si>
  <si>
    <t xml:space="preserve">k 30.6.2024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</si>
</sst>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8"/>
      <name val="Arial CE"/>
      <charset val="238"/>
    </font>
    <font>
      <sz val="12"/>
      <name val="Arial CE"/>
      <charset val="238"/>
    </font>
    <font>
      <sz val="10"/>
      <name val="Arial CE"/>
      <charset val="238"/>
    </font>
    <font>
      <sz val="18"/>
      <name val="Arial CE"/>
      <family val="2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name val="Arial CE"/>
    </font>
    <font>
      <b/>
      <sz val="10"/>
      <name val="Arial"/>
      <family val="2"/>
      <charset val="238"/>
    </font>
    <font>
      <b/>
      <i/>
      <sz val="14"/>
      <name val="Arial CE"/>
      <family val="2"/>
      <charset val="238"/>
    </font>
    <font>
      <b/>
      <i/>
      <sz val="12"/>
      <name val="Arial CE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sz val="11.5"/>
      <name val="Arial CE"/>
      <family val="2"/>
      <charset val="238"/>
    </font>
    <font>
      <sz val="12"/>
      <color theme="1"/>
      <name val="Arial CE"/>
      <family val="2"/>
      <charset val="238"/>
    </font>
    <font>
      <b/>
      <u/>
      <sz val="16"/>
      <name val="Arial CE"/>
      <family val="2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color theme="1"/>
      <name val="Arial"/>
      <family val="2"/>
      <charset val="238"/>
    </font>
    <font>
      <sz val="12"/>
      <color rgb="FF00B050"/>
      <name val="Arial"/>
      <family val="2"/>
      <charset val="238"/>
    </font>
    <font>
      <sz val="16"/>
      <name val="Arial CE"/>
      <charset val="238"/>
    </font>
    <font>
      <b/>
      <sz val="10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9"/>
      <name val="Arial CE"/>
      <family val="2"/>
      <charset val="238"/>
    </font>
    <font>
      <b/>
      <i/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i/>
      <u/>
      <sz val="10"/>
      <name val="Arial CE"/>
      <charset val="238"/>
    </font>
    <font>
      <sz val="10"/>
      <name val="Arial CE"/>
      <family val="2"/>
      <charset val="238"/>
    </font>
    <font>
      <i/>
      <sz val="10"/>
      <name val="Arial CE"/>
      <charset val="238"/>
    </font>
    <font>
      <b/>
      <i/>
      <sz val="9"/>
      <name val="Arial CE"/>
      <charset val="238"/>
    </font>
    <font>
      <b/>
      <sz val="9"/>
      <name val="Arial CE"/>
      <charset val="238"/>
    </font>
    <font>
      <sz val="12"/>
      <color rgb="FFFF0000"/>
      <name val="Arial CE"/>
      <charset val="238"/>
    </font>
    <font>
      <b/>
      <i/>
      <u/>
      <sz val="16"/>
      <name val="Arial CE"/>
      <family val="2"/>
      <charset val="238"/>
    </font>
    <font>
      <b/>
      <i/>
      <sz val="12"/>
      <name val="Arial CE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8FFF8F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</cellStyleXfs>
  <cellXfs count="606">
    <xf numFmtId="0" fontId="0" fillId="0" borderId="0" xfId="0"/>
    <xf numFmtId="0" fontId="1" fillId="0" borderId="0" xfId="1"/>
    <xf numFmtId="0" fontId="1" fillId="0" borderId="0" xfId="1" applyFill="1" applyAlignment="1">
      <alignment horizontal="right" wrapText="1"/>
    </xf>
    <xf numFmtId="0" fontId="7" fillId="2" borderId="2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10" fillId="5" borderId="3" xfId="1" applyFont="1" applyFill="1" applyBorder="1" applyAlignment="1">
      <alignment vertical="center"/>
    </xf>
    <xf numFmtId="3" fontId="11" fillId="5" borderId="4" xfId="0" applyNumberFormat="1" applyFont="1" applyFill="1" applyBorder="1" applyAlignment="1">
      <alignment vertical="center"/>
    </xf>
    <xf numFmtId="0" fontId="12" fillId="0" borderId="6" xfId="1" applyFont="1" applyFill="1" applyBorder="1" applyAlignment="1">
      <alignment vertical="center"/>
    </xf>
    <xf numFmtId="3" fontId="13" fillId="3" borderId="7" xfId="0" applyNumberFormat="1" applyFont="1" applyFill="1" applyBorder="1" applyAlignment="1">
      <alignment horizontal="right" vertical="center"/>
    </xf>
    <xf numFmtId="0" fontId="3" fillId="0" borderId="6" xfId="1" applyFont="1" applyFill="1" applyBorder="1" applyAlignment="1">
      <alignment vertical="center"/>
    </xf>
    <xf numFmtId="3" fontId="6" fillId="3" borderId="7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vertical="center"/>
    </xf>
    <xf numFmtId="0" fontId="6" fillId="0" borderId="6" xfId="1" applyFont="1" applyFill="1" applyBorder="1" applyAlignment="1">
      <alignment vertical="center"/>
    </xf>
    <xf numFmtId="0" fontId="13" fillId="0" borderId="6" xfId="1" applyFont="1" applyFill="1" applyBorder="1" applyAlignment="1">
      <alignment vertical="center"/>
    </xf>
    <xf numFmtId="3" fontId="13" fillId="3" borderId="7" xfId="0" applyNumberFormat="1" applyFont="1" applyFill="1" applyBorder="1" applyAlignment="1">
      <alignment vertical="center"/>
    </xf>
    <xf numFmtId="0" fontId="1" fillId="0" borderId="0" xfId="1" applyFill="1"/>
    <xf numFmtId="0" fontId="3" fillId="0" borderId="8" xfId="1" applyFont="1" applyFill="1" applyBorder="1" applyAlignment="1">
      <alignment vertical="center"/>
    </xf>
    <xf numFmtId="3" fontId="6" fillId="3" borderId="9" xfId="0" applyNumberFormat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0" fontId="1" fillId="0" borderId="0" xfId="1" applyBorder="1"/>
    <xf numFmtId="0" fontId="14" fillId="0" borderId="1" xfId="1" applyFont="1" applyFill="1" applyBorder="1" applyAlignment="1">
      <alignment vertical="center"/>
    </xf>
    <xf numFmtId="0" fontId="3" fillId="0" borderId="5" xfId="1" applyFont="1" applyFill="1" applyBorder="1" applyAlignment="1">
      <alignment vertical="center"/>
    </xf>
    <xf numFmtId="3" fontId="6" fillId="3" borderId="4" xfId="0" applyNumberFormat="1" applyFont="1" applyFill="1" applyBorder="1" applyAlignment="1">
      <alignment horizontal="right" vertical="center"/>
    </xf>
    <xf numFmtId="3" fontId="15" fillId="3" borderId="7" xfId="0" applyNumberFormat="1" applyFont="1" applyFill="1" applyBorder="1" applyAlignment="1">
      <alignment horizontal="right" vertical="center"/>
    </xf>
    <xf numFmtId="0" fontId="3" fillId="0" borderId="6" xfId="2" applyFont="1" applyFill="1" applyBorder="1" applyAlignment="1">
      <alignment vertical="center"/>
    </xf>
    <xf numFmtId="3" fontId="3" fillId="3" borderId="7" xfId="0" applyNumberFormat="1" applyFont="1" applyFill="1" applyBorder="1" applyAlignment="1">
      <alignment horizontal="right" vertical="center"/>
    </xf>
    <xf numFmtId="3" fontId="12" fillId="3" borderId="7" xfId="0" applyNumberFormat="1" applyFont="1" applyFill="1" applyBorder="1" applyAlignment="1">
      <alignment horizontal="right" vertical="center"/>
    </xf>
    <xf numFmtId="0" fontId="9" fillId="0" borderId="0" xfId="1" applyFont="1"/>
    <xf numFmtId="0" fontId="10" fillId="6" borderId="6" xfId="1" applyFont="1" applyFill="1" applyBorder="1" applyAlignment="1">
      <alignment vertical="center"/>
    </xf>
    <xf numFmtId="3" fontId="11" fillId="6" borderId="7" xfId="0" applyNumberFormat="1" applyFont="1" applyFill="1" applyBorder="1" applyAlignment="1">
      <alignment vertical="center"/>
    </xf>
    <xf numFmtId="0" fontId="6" fillId="0" borderId="10" xfId="2" applyFont="1" applyFill="1" applyBorder="1" applyAlignment="1">
      <alignment vertical="center"/>
    </xf>
    <xf numFmtId="3" fontId="6" fillId="3" borderId="11" xfId="0" applyNumberFormat="1" applyFont="1" applyFill="1" applyBorder="1" applyAlignment="1">
      <alignment horizontal="right" vertical="center"/>
    </xf>
    <xf numFmtId="0" fontId="6" fillId="0" borderId="10" xfId="3" applyFont="1" applyFill="1" applyBorder="1" applyAlignment="1">
      <alignment vertical="center"/>
    </xf>
    <xf numFmtId="0" fontId="16" fillId="6" borderId="8" xfId="1" applyFont="1" applyFill="1" applyBorder="1" applyAlignment="1">
      <alignment vertical="center"/>
    </xf>
    <xf numFmtId="3" fontId="12" fillId="6" borderId="9" xfId="0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3" fontId="17" fillId="0" borderId="0" xfId="1" applyNumberFormat="1" applyFont="1" applyFill="1" applyBorder="1" applyAlignment="1">
      <alignment vertical="center"/>
    </xf>
    <xf numFmtId="4" fontId="1" fillId="0" borderId="0" xfId="1" applyNumberFormat="1"/>
    <xf numFmtId="4" fontId="1" fillId="0" borderId="0" xfId="1" applyNumberFormat="1" applyFill="1"/>
    <xf numFmtId="4" fontId="17" fillId="0" borderId="0" xfId="1" applyNumberFormat="1" applyFont="1" applyFill="1" applyBorder="1" applyAlignment="1">
      <alignment vertical="center"/>
    </xf>
    <xf numFmtId="3" fontId="17" fillId="0" borderId="0" xfId="1" applyNumberFormat="1" applyFont="1" applyFill="1" applyBorder="1" applyAlignment="1">
      <alignment horizontal="center" vertical="center"/>
    </xf>
    <xf numFmtId="4" fontId="11" fillId="6" borderId="7" xfId="0" applyNumberFormat="1" applyFont="1" applyFill="1" applyBorder="1" applyAlignment="1">
      <alignment vertical="center"/>
    </xf>
    <xf numFmtId="4" fontId="12" fillId="6" borderId="9" xfId="0" applyNumberFormat="1" applyFont="1" applyFill="1" applyBorder="1" applyAlignment="1">
      <alignment vertical="center"/>
    </xf>
    <xf numFmtId="4" fontId="1" fillId="0" borderId="0" xfId="1" applyNumberFormat="1" applyBorder="1"/>
    <xf numFmtId="4" fontId="9" fillId="0" borderId="0" xfId="1" applyNumberFormat="1" applyFont="1"/>
    <xf numFmtId="0" fontId="2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3" fontId="6" fillId="4" borderId="4" xfId="0" applyNumberFormat="1" applyFont="1" applyFill="1" applyBorder="1" applyAlignment="1">
      <alignment horizontal="right" vertical="center"/>
    </xf>
    <xf numFmtId="4" fontId="6" fillId="4" borderId="4" xfId="0" applyNumberFormat="1" applyFont="1" applyFill="1" applyBorder="1" applyAlignment="1">
      <alignment horizontal="right" vertical="center"/>
    </xf>
    <xf numFmtId="3" fontId="15" fillId="4" borderId="7" xfId="0" applyNumberFormat="1" applyFont="1" applyFill="1" applyBorder="1" applyAlignment="1">
      <alignment horizontal="right" vertical="center"/>
    </xf>
    <xf numFmtId="4" fontId="15" fillId="4" borderId="7" xfId="0" applyNumberFormat="1" applyFont="1" applyFill="1" applyBorder="1" applyAlignment="1">
      <alignment horizontal="right" vertical="center"/>
    </xf>
    <xf numFmtId="3" fontId="6" fillId="4" borderId="7" xfId="0" applyNumberFormat="1" applyFont="1" applyFill="1" applyBorder="1" applyAlignment="1">
      <alignment horizontal="right" vertical="center"/>
    </xf>
    <xf numFmtId="4" fontId="6" fillId="4" borderId="7" xfId="0" applyNumberFormat="1" applyFont="1" applyFill="1" applyBorder="1" applyAlignment="1">
      <alignment horizontal="right" vertical="center"/>
    </xf>
    <xf numFmtId="3" fontId="3" fillId="4" borderId="7" xfId="0" applyNumberFormat="1" applyFont="1" applyFill="1" applyBorder="1" applyAlignment="1">
      <alignment horizontal="right" vertical="center"/>
    </xf>
    <xf numFmtId="4" fontId="3" fillId="4" borderId="7" xfId="0" applyNumberFormat="1" applyFont="1" applyFill="1" applyBorder="1" applyAlignment="1">
      <alignment horizontal="right" vertical="center"/>
    </xf>
    <xf numFmtId="3" fontId="12" fillId="4" borderId="7" xfId="0" applyNumberFormat="1" applyFont="1" applyFill="1" applyBorder="1" applyAlignment="1">
      <alignment horizontal="right" vertical="center"/>
    </xf>
    <xf numFmtId="4" fontId="12" fillId="4" borderId="7" xfId="0" applyNumberFormat="1" applyFont="1" applyFill="1" applyBorder="1" applyAlignment="1">
      <alignment horizontal="right" vertical="center"/>
    </xf>
    <xf numFmtId="3" fontId="6" fillId="4" borderId="11" xfId="0" applyNumberFormat="1" applyFont="1" applyFill="1" applyBorder="1" applyAlignment="1">
      <alignment horizontal="right" vertical="center"/>
    </xf>
    <xf numFmtId="4" fontId="6" fillId="4" borderId="11" xfId="0" applyNumberFormat="1" applyFont="1" applyFill="1" applyBorder="1" applyAlignment="1">
      <alignment horizontal="right" vertical="center"/>
    </xf>
    <xf numFmtId="3" fontId="13" fillId="4" borderId="7" xfId="0" applyNumberFormat="1" applyFont="1" applyFill="1" applyBorder="1" applyAlignment="1">
      <alignment horizontal="right" vertical="center"/>
    </xf>
    <xf numFmtId="3" fontId="13" fillId="4" borderId="7" xfId="0" applyNumberFormat="1" applyFont="1" applyFill="1" applyBorder="1" applyAlignment="1">
      <alignment vertical="center"/>
    </xf>
    <xf numFmtId="3" fontId="6" fillId="4" borderId="9" xfId="0" applyNumberFormat="1" applyFont="1" applyFill="1" applyBorder="1" applyAlignment="1">
      <alignment horizontal="right" vertical="center"/>
    </xf>
    <xf numFmtId="4" fontId="11" fillId="5" borderId="12" xfId="0" applyNumberFormat="1" applyFont="1" applyFill="1" applyBorder="1" applyAlignment="1">
      <alignment vertical="center"/>
    </xf>
    <xf numFmtId="4" fontId="13" fillId="4" borderId="6" xfId="0" applyNumberFormat="1" applyFont="1" applyFill="1" applyBorder="1" applyAlignment="1">
      <alignment horizontal="right" vertical="center"/>
    </xf>
    <xf numFmtId="4" fontId="6" fillId="4" borderId="6" xfId="0" applyNumberFormat="1" applyFont="1" applyFill="1" applyBorder="1" applyAlignment="1">
      <alignment horizontal="right" vertical="center"/>
    </xf>
    <xf numFmtId="4" fontId="13" fillId="4" borderId="6" xfId="0" applyNumberFormat="1" applyFont="1" applyFill="1" applyBorder="1" applyAlignment="1">
      <alignment vertical="center"/>
    </xf>
    <xf numFmtId="4" fontId="6" fillId="4" borderId="8" xfId="0" applyNumberFormat="1" applyFont="1" applyFill="1" applyBorder="1" applyAlignment="1">
      <alignment horizontal="right" vertical="center"/>
    </xf>
    <xf numFmtId="0" fontId="18" fillId="0" borderId="0" xfId="5"/>
    <xf numFmtId="49" fontId="18" fillId="0" borderId="0" xfId="1" applyNumberFormat="1" applyFont="1" applyFill="1" applyAlignment="1">
      <alignment horizontal="left"/>
    </xf>
    <xf numFmtId="0" fontId="20" fillId="7" borderId="19" xfId="7" applyFont="1" applyFill="1" applyBorder="1" applyAlignment="1">
      <alignment horizontal="center" vertical="center" wrapText="1"/>
    </xf>
    <xf numFmtId="0" fontId="20" fillId="7" borderId="24" xfId="7" applyFont="1" applyFill="1" applyBorder="1" applyAlignment="1">
      <alignment horizontal="center" vertical="center" wrapText="1"/>
    </xf>
    <xf numFmtId="49" fontId="22" fillId="8" borderId="25" xfId="5" applyNumberFormat="1" applyFont="1" applyFill="1" applyBorder="1" applyAlignment="1">
      <alignment horizontal="center"/>
    </xf>
    <xf numFmtId="0" fontId="22" fillId="8" borderId="26" xfId="5" applyFont="1" applyFill="1" applyBorder="1" applyAlignment="1">
      <alignment horizontal="center"/>
    </xf>
    <xf numFmtId="49" fontId="22" fillId="8" borderId="27" xfId="5" applyNumberFormat="1" applyFont="1" applyFill="1" applyBorder="1" applyAlignment="1">
      <alignment horizontal="center"/>
    </xf>
    <xf numFmtId="0" fontId="23" fillId="8" borderId="12" xfId="6" applyFont="1" applyFill="1" applyBorder="1"/>
    <xf numFmtId="3" fontId="22" fillId="8" borderId="25" xfId="5" applyNumberFormat="1" applyFont="1" applyFill="1" applyBorder="1" applyAlignment="1">
      <alignment horizontal="right"/>
    </xf>
    <xf numFmtId="3" fontId="22" fillId="8" borderId="27" xfId="5" applyNumberFormat="1" applyFont="1" applyFill="1" applyBorder="1" applyAlignment="1">
      <alignment horizontal="right"/>
    </xf>
    <xf numFmtId="49" fontId="22" fillId="0" borderId="28" xfId="5" applyNumberFormat="1" applyFont="1" applyFill="1" applyBorder="1" applyAlignment="1">
      <alignment horizontal="center"/>
    </xf>
    <xf numFmtId="0" fontId="22" fillId="0" borderId="13" xfId="5" applyFont="1" applyFill="1" applyBorder="1" applyAlignment="1">
      <alignment horizontal="center"/>
    </xf>
    <xf numFmtId="49" fontId="22" fillId="0" borderId="29" xfId="5" applyNumberFormat="1" applyFont="1" applyFill="1" applyBorder="1" applyAlignment="1">
      <alignment horizontal="center"/>
    </xf>
    <xf numFmtId="0" fontId="23" fillId="0" borderId="6" xfId="6" applyFont="1" applyFill="1" applyBorder="1"/>
    <xf numFmtId="3" fontId="22" fillId="3" borderId="28" xfId="5" applyNumberFormat="1" applyFont="1" applyFill="1" applyBorder="1" applyAlignment="1">
      <alignment horizontal="right"/>
    </xf>
    <xf numFmtId="3" fontId="22" fillId="3" borderId="29" xfId="5" applyNumberFormat="1" applyFont="1" applyFill="1" applyBorder="1" applyAlignment="1">
      <alignment horizontal="right"/>
    </xf>
    <xf numFmtId="3" fontId="22" fillId="4" borderId="28" xfId="5" applyNumberFormat="1" applyFont="1" applyFill="1" applyBorder="1" applyAlignment="1">
      <alignment horizontal="right"/>
    </xf>
    <xf numFmtId="3" fontId="22" fillId="4" borderId="29" xfId="5" applyNumberFormat="1" applyFont="1" applyFill="1" applyBorder="1" applyAlignment="1">
      <alignment horizontal="right"/>
    </xf>
    <xf numFmtId="3" fontId="18" fillId="0" borderId="0" xfId="5" applyNumberFormat="1" applyFont="1" applyFill="1"/>
    <xf numFmtId="4" fontId="22" fillId="4" borderId="28" xfId="5" applyNumberFormat="1" applyFont="1" applyFill="1" applyBorder="1" applyAlignment="1">
      <alignment horizontal="right"/>
    </xf>
    <xf numFmtId="4" fontId="22" fillId="4" borderId="29" xfId="5" applyNumberFormat="1" applyFont="1" applyFill="1" applyBorder="1" applyAlignment="1">
      <alignment horizontal="right"/>
    </xf>
    <xf numFmtId="0" fontId="18" fillId="0" borderId="0" xfId="5" applyFill="1"/>
    <xf numFmtId="0" fontId="20" fillId="0" borderId="0" xfId="5" applyFont="1" applyFill="1"/>
    <xf numFmtId="3" fontId="24" fillId="3" borderId="28" xfId="5" applyNumberFormat="1" applyFont="1" applyFill="1" applyBorder="1" applyAlignment="1">
      <alignment horizontal="right"/>
    </xf>
    <xf numFmtId="3" fontId="24" fillId="4" borderId="28" xfId="5" applyNumberFormat="1" applyFont="1" applyFill="1" applyBorder="1" applyAlignment="1">
      <alignment horizontal="right"/>
    </xf>
    <xf numFmtId="4" fontId="24" fillId="4" borderId="28" xfId="5" applyNumberFormat="1" applyFont="1" applyFill="1" applyBorder="1" applyAlignment="1">
      <alignment horizontal="right"/>
    </xf>
    <xf numFmtId="49" fontId="20" fillId="9" borderId="28" xfId="5" applyNumberFormat="1" applyFont="1" applyFill="1" applyBorder="1" applyAlignment="1">
      <alignment horizontal="center"/>
    </xf>
    <xf numFmtId="0" fontId="20" fillId="9" borderId="13" xfId="5" applyFont="1" applyFill="1" applyBorder="1" applyAlignment="1">
      <alignment horizontal="center"/>
    </xf>
    <xf numFmtId="49" fontId="20" fillId="9" borderId="29" xfId="5" applyNumberFormat="1" applyFont="1" applyFill="1" applyBorder="1" applyAlignment="1">
      <alignment horizontal="center"/>
    </xf>
    <xf numFmtId="49" fontId="20" fillId="9" borderId="6" xfId="5" applyNumberFormat="1" applyFont="1" applyFill="1" applyBorder="1" applyAlignment="1">
      <alignment horizontal="left"/>
    </xf>
    <xf numFmtId="3" fontId="20" fillId="9" borderId="28" xfId="5" applyNumberFormat="1" applyFont="1" applyFill="1" applyBorder="1" applyAlignment="1">
      <alignment horizontal="right"/>
    </xf>
    <xf numFmtId="3" fontId="20" fillId="9" borderId="29" xfId="5" applyNumberFormat="1" applyFont="1" applyFill="1" applyBorder="1" applyAlignment="1">
      <alignment horizontal="right"/>
    </xf>
    <xf numFmtId="4" fontId="20" fillId="9" borderId="28" xfId="5" applyNumberFormat="1" applyFont="1" applyFill="1" applyBorder="1" applyAlignment="1">
      <alignment horizontal="right"/>
    </xf>
    <xf numFmtId="4" fontId="20" fillId="9" borderId="29" xfId="5" applyNumberFormat="1" applyFont="1" applyFill="1" applyBorder="1" applyAlignment="1">
      <alignment horizontal="right"/>
    </xf>
    <xf numFmtId="49" fontId="22" fillId="8" borderId="28" xfId="5" applyNumberFormat="1" applyFont="1" applyFill="1" applyBorder="1" applyAlignment="1">
      <alignment horizontal="center"/>
    </xf>
    <xf numFmtId="0" fontId="22" fillId="8" borderId="13" xfId="5" applyFont="1" applyFill="1" applyBorder="1" applyAlignment="1">
      <alignment horizontal="center"/>
    </xf>
    <xf numFmtId="49" fontId="22" fillId="8" borderId="29" xfId="5" applyNumberFormat="1" applyFont="1" applyFill="1" applyBorder="1" applyAlignment="1">
      <alignment horizontal="center"/>
    </xf>
    <xf numFmtId="0" fontId="23" fillId="8" borderId="6" xfId="6" applyFont="1" applyFill="1" applyBorder="1"/>
    <xf numFmtId="3" fontId="22" fillId="8" borderId="28" xfId="5" applyNumberFormat="1" applyFont="1" applyFill="1" applyBorder="1" applyAlignment="1">
      <alignment horizontal="right"/>
    </xf>
    <xf numFmtId="3" fontId="22" fillId="8" borderId="29" xfId="5" applyNumberFormat="1" applyFont="1" applyFill="1" applyBorder="1" applyAlignment="1">
      <alignment horizontal="right"/>
    </xf>
    <xf numFmtId="4" fontId="22" fillId="8" borderId="28" xfId="5" applyNumberFormat="1" applyFont="1" applyFill="1" applyBorder="1" applyAlignment="1">
      <alignment horizontal="right"/>
    </xf>
    <xf numFmtId="4" fontId="22" fillId="8" borderId="29" xfId="5" applyNumberFormat="1" applyFont="1" applyFill="1" applyBorder="1" applyAlignment="1">
      <alignment horizontal="right"/>
    </xf>
    <xf numFmtId="0" fontId="20" fillId="0" borderId="0" xfId="5" applyFont="1"/>
    <xf numFmtId="49" fontId="20" fillId="9" borderId="30" xfId="5" applyNumberFormat="1" applyFont="1" applyFill="1" applyBorder="1" applyAlignment="1">
      <alignment horizontal="center"/>
    </xf>
    <xf numFmtId="0" fontId="20" fillId="9" borderId="31" xfId="5" applyFont="1" applyFill="1" applyBorder="1" applyAlignment="1">
      <alignment horizontal="center"/>
    </xf>
    <xf numFmtId="49" fontId="20" fillId="9" borderId="32" xfId="5" applyNumberFormat="1" applyFont="1" applyFill="1" applyBorder="1" applyAlignment="1">
      <alignment horizontal="center"/>
    </xf>
    <xf numFmtId="49" fontId="20" fillId="9" borderId="8" xfId="5" applyNumberFormat="1" applyFont="1" applyFill="1" applyBorder="1" applyAlignment="1">
      <alignment horizontal="left"/>
    </xf>
    <xf numFmtId="3" fontId="20" fillId="9" borderId="30" xfId="6" applyNumberFormat="1" applyFont="1" applyFill="1" applyBorder="1" applyAlignment="1">
      <alignment horizontal="right"/>
    </xf>
    <xf numFmtId="3" fontId="20" fillId="9" borderId="32" xfId="6" applyNumberFormat="1" applyFont="1" applyFill="1" applyBorder="1" applyAlignment="1">
      <alignment horizontal="right"/>
    </xf>
    <xf numFmtId="4" fontId="20" fillId="9" borderId="30" xfId="6" applyNumberFormat="1" applyFont="1" applyFill="1" applyBorder="1" applyAlignment="1">
      <alignment horizontal="right"/>
    </xf>
    <xf numFmtId="4" fontId="20" fillId="9" borderId="32" xfId="6" applyNumberFormat="1" applyFont="1" applyFill="1" applyBorder="1" applyAlignment="1">
      <alignment horizontal="right"/>
    </xf>
    <xf numFmtId="49" fontId="20" fillId="0" borderId="0" xfId="5" applyNumberFormat="1" applyFont="1" applyFill="1" applyBorder="1" applyAlignment="1">
      <alignment horizontal="center"/>
    </xf>
    <xf numFmtId="0" fontId="20" fillId="0" borderId="0" xfId="5" applyFont="1" applyFill="1" applyBorder="1" applyAlignment="1">
      <alignment horizontal="center"/>
    </xf>
    <xf numFmtId="49" fontId="20" fillId="0" borderId="0" xfId="5" applyNumberFormat="1" applyFont="1" applyFill="1" applyBorder="1" applyAlignment="1">
      <alignment horizontal="left"/>
    </xf>
    <xf numFmtId="3" fontId="21" fillId="0" borderId="0" xfId="6" applyNumberFormat="1" applyFont="1" applyFill="1" applyBorder="1" applyAlignment="1">
      <alignment horizontal="right"/>
    </xf>
    <xf numFmtId="0" fontId="18" fillId="0" borderId="0" xfId="5" applyFill="1" applyBorder="1"/>
    <xf numFmtId="0" fontId="3" fillId="0" borderId="0" xfId="6" applyFont="1" applyBorder="1" applyAlignment="1">
      <alignment horizontal="right" vertical="center" wrapText="1"/>
    </xf>
    <xf numFmtId="3" fontId="18" fillId="0" borderId="0" xfId="5" applyNumberFormat="1" applyFont="1" applyFill="1" applyBorder="1"/>
    <xf numFmtId="3" fontId="25" fillId="3" borderId="28" xfId="5" applyNumberFormat="1" applyFont="1" applyFill="1" applyBorder="1" applyAlignment="1">
      <alignment horizontal="right"/>
    </xf>
    <xf numFmtId="3" fontId="25" fillId="3" borderId="29" xfId="5" applyNumberFormat="1" applyFont="1" applyFill="1" applyBorder="1" applyAlignment="1">
      <alignment horizontal="right"/>
    </xf>
    <xf numFmtId="3" fontId="25" fillId="4" borderId="28" xfId="5" applyNumberFormat="1" applyFont="1" applyFill="1" applyBorder="1" applyAlignment="1">
      <alignment horizontal="right"/>
    </xf>
    <xf numFmtId="3" fontId="25" fillId="4" borderId="29" xfId="5" applyNumberFormat="1" applyFont="1" applyFill="1" applyBorder="1" applyAlignment="1">
      <alignment horizontal="right"/>
    </xf>
    <xf numFmtId="49" fontId="23" fillId="0" borderId="6" xfId="5" applyNumberFormat="1" applyFont="1" applyFill="1" applyBorder="1" applyAlignment="1">
      <alignment horizontal="left"/>
    </xf>
    <xf numFmtId="0" fontId="18" fillId="0" borderId="0" xfId="5" applyFont="1"/>
    <xf numFmtId="49" fontId="22" fillId="0" borderId="33" xfId="5" applyNumberFormat="1" applyFont="1" applyFill="1" applyBorder="1" applyAlignment="1">
      <alignment horizontal="center"/>
    </xf>
    <xf numFmtId="0" fontId="22" fillId="0" borderId="34" xfId="5" applyFont="1" applyFill="1" applyBorder="1" applyAlignment="1">
      <alignment horizontal="center"/>
    </xf>
    <xf numFmtId="49" fontId="22" fillId="0" borderId="35" xfId="5" applyNumberFormat="1" applyFont="1" applyFill="1" applyBorder="1" applyAlignment="1">
      <alignment horizontal="center"/>
    </xf>
    <xf numFmtId="0" fontId="23" fillId="0" borderId="10" xfId="6" applyFont="1" applyFill="1" applyBorder="1"/>
    <xf numFmtId="3" fontId="22" fillId="3" borderId="33" xfId="5" applyNumberFormat="1" applyFont="1" applyFill="1" applyBorder="1" applyAlignment="1">
      <alignment horizontal="right"/>
    </xf>
    <xf numFmtId="3" fontId="22" fillId="3" borderId="35" xfId="5" applyNumberFormat="1" applyFont="1" applyFill="1" applyBorder="1" applyAlignment="1">
      <alignment horizontal="right"/>
    </xf>
    <xf numFmtId="3" fontId="22" fillId="4" borderId="33" xfId="5" applyNumberFormat="1" applyFont="1" applyFill="1" applyBorder="1" applyAlignment="1">
      <alignment horizontal="right"/>
    </xf>
    <xf numFmtId="3" fontId="22" fillId="4" borderId="35" xfId="5" applyNumberFormat="1" applyFont="1" applyFill="1" applyBorder="1" applyAlignment="1">
      <alignment horizontal="right"/>
    </xf>
    <xf numFmtId="4" fontId="22" fillId="4" borderId="33" xfId="5" applyNumberFormat="1" applyFont="1" applyFill="1" applyBorder="1" applyAlignment="1">
      <alignment horizontal="right"/>
    </xf>
    <xf numFmtId="4" fontId="22" fillId="4" borderId="35" xfId="5" applyNumberFormat="1" applyFont="1" applyFill="1" applyBorder="1" applyAlignment="1">
      <alignment horizontal="right"/>
    </xf>
    <xf numFmtId="49" fontId="20" fillId="0" borderId="1" xfId="5" applyNumberFormat="1" applyFont="1" applyFill="1" applyBorder="1" applyAlignment="1">
      <alignment horizontal="center"/>
    </xf>
    <xf numFmtId="0" fontId="20" fillId="0" borderId="1" xfId="5" applyFont="1" applyFill="1" applyBorder="1" applyAlignment="1">
      <alignment horizontal="center"/>
    </xf>
    <xf numFmtId="49" fontId="20" fillId="0" borderId="1" xfId="5" applyNumberFormat="1" applyFont="1" applyFill="1" applyBorder="1" applyAlignment="1">
      <alignment horizontal="left"/>
    </xf>
    <xf numFmtId="3" fontId="20" fillId="9" borderId="28" xfId="6" applyNumberFormat="1" applyFont="1" applyFill="1" applyBorder="1" applyAlignment="1">
      <alignment horizontal="right"/>
    </xf>
    <xf numFmtId="3" fontId="20" fillId="9" borderId="29" xfId="6" applyNumberFormat="1" applyFont="1" applyFill="1" applyBorder="1" applyAlignment="1">
      <alignment horizontal="right"/>
    </xf>
    <xf numFmtId="4" fontId="20" fillId="9" borderId="28" xfId="6" applyNumberFormat="1" applyFont="1" applyFill="1" applyBorder="1" applyAlignment="1">
      <alignment horizontal="right"/>
    </xf>
    <xf numFmtId="4" fontId="20" fillId="9" borderId="29" xfId="6" applyNumberFormat="1" applyFont="1" applyFill="1" applyBorder="1" applyAlignment="1">
      <alignment horizontal="right"/>
    </xf>
    <xf numFmtId="0" fontId="23" fillId="0" borderId="8" xfId="6" applyFont="1" applyFill="1" applyBorder="1"/>
    <xf numFmtId="3" fontId="22" fillId="3" borderId="30" xfId="5" applyNumberFormat="1" applyFont="1" applyFill="1" applyBorder="1" applyAlignment="1">
      <alignment horizontal="right"/>
    </xf>
    <xf numFmtId="3" fontId="22" fillId="3" borderId="32" xfId="5" applyNumberFormat="1" applyFont="1" applyFill="1" applyBorder="1" applyAlignment="1">
      <alignment horizontal="right"/>
    </xf>
    <xf numFmtId="3" fontId="22" fillId="4" borderId="30" xfId="5" applyNumberFormat="1" applyFont="1" applyFill="1" applyBorder="1" applyAlignment="1">
      <alignment horizontal="right"/>
    </xf>
    <xf numFmtId="3" fontId="22" fillId="4" borderId="32" xfId="5" applyNumberFormat="1" applyFont="1" applyFill="1" applyBorder="1" applyAlignment="1">
      <alignment horizontal="right"/>
    </xf>
    <xf numFmtId="4" fontId="22" fillId="4" borderId="30" xfId="5" applyNumberFormat="1" applyFont="1" applyFill="1" applyBorder="1" applyAlignment="1">
      <alignment horizontal="right"/>
    </xf>
    <xf numFmtId="4" fontId="22" fillId="4" borderId="32" xfId="5" applyNumberFormat="1" applyFont="1" applyFill="1" applyBorder="1" applyAlignment="1">
      <alignment horizontal="right"/>
    </xf>
    <xf numFmtId="49" fontId="22" fillId="0" borderId="0" xfId="5" applyNumberFormat="1" applyFont="1" applyFill="1" applyBorder="1" applyAlignment="1">
      <alignment horizontal="center"/>
    </xf>
    <xf numFmtId="0" fontId="22" fillId="0" borderId="0" xfId="5" applyFont="1" applyFill="1" applyBorder="1" applyAlignment="1">
      <alignment horizontal="center"/>
    </xf>
    <xf numFmtId="0" fontId="23" fillId="0" borderId="0" xfId="6" applyFont="1" applyFill="1" applyBorder="1"/>
    <xf numFmtId="3" fontId="18" fillId="0" borderId="0" xfId="5" applyNumberFormat="1" applyFont="1" applyFill="1" applyBorder="1" applyAlignment="1">
      <alignment horizontal="right"/>
    </xf>
    <xf numFmtId="49" fontId="22" fillId="0" borderId="25" xfId="5" applyNumberFormat="1" applyFont="1" applyFill="1" applyBorder="1" applyAlignment="1">
      <alignment horizontal="center"/>
    </xf>
    <xf numFmtId="0" fontId="22" fillId="0" borderId="26" xfId="5" applyFont="1" applyFill="1" applyBorder="1" applyAlignment="1">
      <alignment horizontal="center"/>
    </xf>
    <xf numFmtId="49" fontId="22" fillId="0" borderId="27" xfId="5" applyNumberFormat="1" applyFont="1" applyFill="1" applyBorder="1" applyAlignment="1">
      <alignment horizontal="center"/>
    </xf>
    <xf numFmtId="0" fontId="23" fillId="0" borderId="12" xfId="6" applyFont="1" applyFill="1" applyBorder="1"/>
    <xf numFmtId="3" fontId="22" fillId="3" borderId="25" xfId="5" applyNumberFormat="1" applyFont="1" applyFill="1" applyBorder="1" applyAlignment="1">
      <alignment horizontal="right"/>
    </xf>
    <xf numFmtId="3" fontId="22" fillId="3" borderId="27" xfId="5" applyNumberFormat="1" applyFont="1" applyFill="1" applyBorder="1" applyAlignment="1">
      <alignment horizontal="right"/>
    </xf>
    <xf numFmtId="3" fontId="22" fillId="4" borderId="25" xfId="5" applyNumberFormat="1" applyFont="1" applyFill="1" applyBorder="1" applyAlignment="1">
      <alignment horizontal="right"/>
    </xf>
    <xf numFmtId="3" fontId="22" fillId="4" borderId="27" xfId="5" applyNumberFormat="1" applyFont="1" applyFill="1" applyBorder="1" applyAlignment="1">
      <alignment horizontal="right"/>
    </xf>
    <xf numFmtId="4" fontId="22" fillId="4" borderId="25" xfId="5" applyNumberFormat="1" applyFont="1" applyFill="1" applyBorder="1" applyAlignment="1">
      <alignment horizontal="right"/>
    </xf>
    <xf numFmtId="4" fontId="22" fillId="4" borderId="27" xfId="5" applyNumberFormat="1" applyFont="1" applyFill="1" applyBorder="1" applyAlignment="1">
      <alignment horizontal="right"/>
    </xf>
    <xf numFmtId="49" fontId="20" fillId="0" borderId="36" xfId="5" applyNumberFormat="1" applyFont="1" applyFill="1" applyBorder="1" applyAlignment="1">
      <alignment horizontal="center"/>
    </xf>
    <xf numFmtId="0" fontId="20" fillId="0" borderId="37" xfId="5" applyFont="1" applyFill="1" applyBorder="1" applyAlignment="1">
      <alignment horizontal="center"/>
    </xf>
    <xf numFmtId="49" fontId="20" fillId="0" borderId="37" xfId="5" applyNumberFormat="1" applyFont="1" applyFill="1" applyBorder="1" applyAlignment="1">
      <alignment horizontal="center"/>
    </xf>
    <xf numFmtId="49" fontId="20" fillId="0" borderId="11" xfId="5" applyNumberFormat="1" applyFont="1" applyFill="1" applyBorder="1" applyAlignment="1">
      <alignment horizontal="left"/>
    </xf>
    <xf numFmtId="3" fontId="20" fillId="3" borderId="33" xfId="5" applyNumberFormat="1" applyFont="1" applyFill="1" applyBorder="1" applyAlignment="1">
      <alignment horizontal="right"/>
    </xf>
    <xf numFmtId="3" fontId="20" fillId="3" borderId="35" xfId="5" applyNumberFormat="1" applyFont="1" applyFill="1" applyBorder="1" applyAlignment="1">
      <alignment horizontal="right"/>
    </xf>
    <xf numFmtId="3" fontId="20" fillId="4" borderId="33" xfId="5" applyNumberFormat="1" applyFont="1" applyFill="1" applyBorder="1" applyAlignment="1">
      <alignment horizontal="right"/>
    </xf>
    <xf numFmtId="3" fontId="20" fillId="4" borderId="35" xfId="5" applyNumberFormat="1" applyFont="1" applyFill="1" applyBorder="1" applyAlignment="1">
      <alignment horizontal="right"/>
    </xf>
    <xf numFmtId="4" fontId="20" fillId="4" borderId="33" xfId="5" applyNumberFormat="1" applyFont="1" applyFill="1" applyBorder="1" applyAlignment="1">
      <alignment horizontal="right"/>
    </xf>
    <xf numFmtId="4" fontId="20" fillId="4" borderId="35" xfId="5" applyNumberFormat="1" applyFont="1" applyFill="1" applyBorder="1" applyAlignment="1">
      <alignment horizontal="right"/>
    </xf>
    <xf numFmtId="0" fontId="22" fillId="0" borderId="33" xfId="5" applyFont="1" applyFill="1" applyBorder="1" applyAlignment="1"/>
    <xf numFmtId="0" fontId="3" fillId="0" borderId="34" xfId="6" applyFont="1" applyFill="1" applyBorder="1" applyAlignment="1"/>
    <xf numFmtId="0" fontId="17" fillId="0" borderId="34" xfId="6" applyFont="1" applyFill="1" applyBorder="1" applyAlignment="1"/>
    <xf numFmtId="0" fontId="23" fillId="0" borderId="35" xfId="6" applyFont="1" applyFill="1" applyBorder="1" applyAlignment="1"/>
    <xf numFmtId="0" fontId="22" fillId="0" borderId="36" xfId="5" applyFont="1" applyFill="1" applyBorder="1" applyAlignment="1"/>
    <xf numFmtId="0" fontId="3" fillId="0" borderId="37" xfId="6" applyFont="1" applyFill="1" applyBorder="1" applyAlignment="1"/>
    <xf numFmtId="0" fontId="17" fillId="0" borderId="37" xfId="6" applyFont="1" applyFill="1" applyBorder="1" applyAlignment="1"/>
    <xf numFmtId="0" fontId="23" fillId="0" borderId="35" xfId="0" applyFont="1" applyFill="1" applyBorder="1" applyAlignment="1"/>
    <xf numFmtId="0" fontId="20" fillId="0" borderId="0" xfId="5" applyFont="1" applyFill="1" applyBorder="1" applyAlignment="1">
      <alignment horizontal="left" indent="2"/>
    </xf>
    <xf numFmtId="3" fontId="21" fillId="0" borderId="0" xfId="6" applyNumberFormat="1" applyFont="1" applyFill="1" applyBorder="1" applyAlignment="1">
      <alignment horizontal="center"/>
    </xf>
    <xf numFmtId="0" fontId="1" fillId="0" borderId="0" xfId="1" applyFill="1" applyAlignment="1">
      <alignment horizontal="right" vertical="center" wrapText="1"/>
    </xf>
    <xf numFmtId="4" fontId="1" fillId="0" borderId="0" xfId="8" applyNumberFormat="1" applyFont="1" applyAlignment="1">
      <alignment horizontal="center" vertical="center"/>
    </xf>
    <xf numFmtId="4" fontId="4" fillId="0" borderId="0" xfId="8" applyNumberFormat="1" applyFont="1" applyAlignment="1">
      <alignment horizontal="right" vertical="center"/>
    </xf>
    <xf numFmtId="0" fontId="1" fillId="0" borderId="0" xfId="8" applyAlignment="1">
      <alignment vertical="center"/>
    </xf>
    <xf numFmtId="4" fontId="27" fillId="10" borderId="48" xfId="8" applyNumberFormat="1" applyFont="1" applyFill="1" applyBorder="1" applyAlignment="1">
      <alignment horizontal="center" vertical="center" wrapText="1"/>
    </xf>
    <xf numFmtId="4" fontId="29" fillId="10" borderId="49" xfId="8" applyNumberFormat="1" applyFont="1" applyFill="1" applyBorder="1" applyAlignment="1">
      <alignment horizontal="center" vertical="center" wrapText="1"/>
    </xf>
    <xf numFmtId="4" fontId="27" fillId="10" borderId="49" xfId="8" applyNumberFormat="1" applyFont="1" applyFill="1" applyBorder="1" applyAlignment="1">
      <alignment horizontal="center" vertical="center" wrapText="1"/>
    </xf>
    <xf numFmtId="4" fontId="27" fillId="10" borderId="24" xfId="8" applyNumberFormat="1" applyFont="1" applyFill="1" applyBorder="1" applyAlignment="1">
      <alignment horizontal="center" vertical="center" wrapText="1"/>
    </xf>
    <xf numFmtId="49" fontId="30" fillId="2" borderId="19" xfId="8" applyNumberFormat="1" applyFont="1" applyFill="1" applyBorder="1" applyAlignment="1">
      <alignment vertical="center"/>
    </xf>
    <xf numFmtId="3" fontId="30" fillId="2" borderId="50" xfId="3" applyNumberFormat="1" applyFont="1" applyFill="1" applyBorder="1" applyAlignment="1">
      <alignment vertical="center"/>
    </xf>
    <xf numFmtId="3" fontId="30" fillId="2" borderId="51" xfId="3" applyNumberFormat="1" applyFont="1" applyFill="1" applyBorder="1" applyAlignment="1">
      <alignment vertical="center"/>
    </xf>
    <xf numFmtId="4" fontId="30" fillId="2" borderId="52" xfId="8" applyNumberFormat="1" applyFont="1" applyFill="1" applyBorder="1" applyAlignment="1">
      <alignment horizontal="right" vertical="center"/>
    </xf>
    <xf numFmtId="49" fontId="4" fillId="11" borderId="12" xfId="8" applyNumberFormat="1" applyFont="1" applyFill="1" applyBorder="1" applyAlignment="1">
      <alignment vertical="center"/>
    </xf>
    <xf numFmtId="3" fontId="31" fillId="12" borderId="53" xfId="3" applyNumberFormat="1" applyFont="1" applyFill="1" applyBorder="1" applyAlignment="1">
      <alignment vertical="center"/>
    </xf>
    <xf numFmtId="3" fontId="31" fillId="12" borderId="54" xfId="3" applyNumberFormat="1" applyFont="1" applyFill="1" applyBorder="1" applyAlignment="1">
      <alignment vertical="center"/>
    </xf>
    <xf numFmtId="4" fontId="4" fillId="13" borderId="56" xfId="8" applyNumberFormat="1" applyFont="1" applyFill="1" applyBorder="1" applyAlignment="1">
      <alignment horizontal="right" vertical="center"/>
    </xf>
    <xf numFmtId="3" fontId="31" fillId="12" borderId="25" xfId="3" applyNumberFormat="1" applyFont="1" applyFill="1" applyBorder="1" applyAlignment="1">
      <alignment vertical="center"/>
    </xf>
    <xf numFmtId="3" fontId="31" fillId="12" borderId="57" xfId="3" applyNumberFormat="1" applyFont="1" applyFill="1" applyBorder="1" applyAlignment="1">
      <alignment vertical="center"/>
    </xf>
    <xf numFmtId="4" fontId="4" fillId="14" borderId="27" xfId="8" applyNumberFormat="1" applyFont="1" applyFill="1" applyBorder="1" applyAlignment="1">
      <alignment horizontal="right" vertical="center"/>
    </xf>
    <xf numFmtId="49" fontId="4" fillId="11" borderId="5" xfId="8" applyNumberFormat="1" applyFont="1" applyFill="1" applyBorder="1" applyAlignment="1">
      <alignment vertical="center"/>
    </xf>
    <xf numFmtId="3" fontId="31" fillId="12" borderId="28" xfId="3" applyNumberFormat="1" applyFont="1" applyFill="1" applyBorder="1" applyAlignment="1">
      <alignment vertical="center"/>
    </xf>
    <xf numFmtId="3" fontId="31" fillId="12" borderId="58" xfId="3" applyNumberFormat="1" applyFont="1" applyFill="1" applyBorder="1" applyAlignment="1">
      <alignment vertical="center"/>
    </xf>
    <xf numFmtId="4" fontId="4" fillId="13" borderId="59" xfId="8" applyNumberFormat="1" applyFont="1" applyFill="1" applyBorder="1" applyAlignment="1">
      <alignment horizontal="right" vertical="center"/>
    </xf>
    <xf numFmtId="4" fontId="4" fillId="14" borderId="29" xfId="8" applyNumberFormat="1" applyFont="1" applyFill="1" applyBorder="1" applyAlignment="1">
      <alignment horizontal="right" vertical="center"/>
    </xf>
    <xf numFmtId="49" fontId="4" fillId="11" borderId="6" xfId="8" applyNumberFormat="1" applyFont="1" applyFill="1" applyBorder="1" applyAlignment="1">
      <alignment vertical="center"/>
    </xf>
    <xf numFmtId="3" fontId="31" fillId="12" borderId="33" xfId="3" applyNumberFormat="1" applyFont="1" applyFill="1" applyBorder="1" applyAlignment="1">
      <alignment vertical="center"/>
    </xf>
    <xf numFmtId="3" fontId="31" fillId="12" borderId="34" xfId="3" applyNumberFormat="1" applyFont="1" applyFill="1" applyBorder="1" applyAlignment="1">
      <alignment vertical="center"/>
    </xf>
    <xf numFmtId="4" fontId="4" fillId="13" borderId="60" xfId="8" applyNumberFormat="1" applyFont="1" applyFill="1" applyBorder="1" applyAlignment="1">
      <alignment horizontal="right" vertical="center"/>
    </xf>
    <xf numFmtId="3" fontId="4" fillId="12" borderId="30" xfId="3" applyNumberFormat="1" applyFont="1" applyFill="1" applyBorder="1" applyAlignment="1">
      <alignment vertical="center"/>
    </xf>
    <xf numFmtId="3" fontId="4" fillId="12" borderId="61" xfId="3" applyNumberFormat="1" applyFont="1" applyFill="1" applyBorder="1" applyAlignment="1">
      <alignment vertical="center"/>
    </xf>
    <xf numFmtId="4" fontId="4" fillId="14" borderId="32" xfId="8" applyNumberFormat="1" applyFont="1" applyFill="1" applyBorder="1" applyAlignment="1">
      <alignment horizontal="right" vertical="center"/>
    </xf>
    <xf numFmtId="3" fontId="32" fillId="2" borderId="48" xfId="3" applyNumberFormat="1" applyFont="1" applyFill="1" applyBorder="1" applyAlignment="1">
      <alignment vertical="center"/>
    </xf>
    <xf numFmtId="3" fontId="32" fillId="2" borderId="49" xfId="3" applyNumberFormat="1" applyFont="1" applyFill="1" applyBorder="1" applyAlignment="1">
      <alignment vertical="center"/>
    </xf>
    <xf numFmtId="4" fontId="32" fillId="2" borderId="24" xfId="8" applyNumberFormat="1" applyFont="1" applyFill="1" applyBorder="1" applyAlignment="1">
      <alignment horizontal="right" vertical="center"/>
    </xf>
    <xf numFmtId="49" fontId="30" fillId="0" borderId="15" xfId="8" applyNumberFormat="1" applyFont="1" applyFill="1" applyBorder="1" applyAlignment="1">
      <alignment vertical="center" wrapText="1"/>
    </xf>
    <xf numFmtId="3" fontId="30" fillId="12" borderId="48" xfId="3" applyNumberFormat="1" applyFont="1" applyFill="1" applyBorder="1" applyAlignment="1">
      <alignment vertical="center"/>
    </xf>
    <xf numFmtId="3" fontId="30" fillId="12" borderId="49" xfId="3" applyNumberFormat="1" applyFont="1" applyFill="1" applyBorder="1" applyAlignment="1">
      <alignment vertical="center"/>
    </xf>
    <xf numFmtId="4" fontId="30" fillId="13" borderId="24" xfId="8" applyNumberFormat="1" applyFont="1" applyFill="1" applyBorder="1" applyAlignment="1">
      <alignment horizontal="right" vertical="center"/>
    </xf>
    <xf numFmtId="4" fontId="30" fillId="14" borderId="24" xfId="8" applyNumberFormat="1" applyFont="1" applyFill="1" applyBorder="1" applyAlignment="1">
      <alignment horizontal="right" vertical="center"/>
    </xf>
    <xf numFmtId="49" fontId="4" fillId="0" borderId="41" xfId="8" applyNumberFormat="1" applyFont="1" applyFill="1" applyBorder="1" applyAlignment="1">
      <alignment vertical="center"/>
    </xf>
    <xf numFmtId="3" fontId="31" fillId="12" borderId="55" xfId="3" applyNumberFormat="1" applyFont="1" applyFill="1" applyBorder="1" applyAlignment="1">
      <alignment vertical="center"/>
    </xf>
    <xf numFmtId="4" fontId="4" fillId="13" borderId="62" xfId="8" applyNumberFormat="1" applyFont="1" applyFill="1" applyBorder="1" applyAlignment="1">
      <alignment horizontal="right" vertical="center"/>
    </xf>
    <xf numFmtId="49" fontId="4" fillId="0" borderId="44" xfId="8" applyNumberFormat="1" applyFont="1" applyFill="1" applyBorder="1" applyAlignment="1">
      <alignment vertical="center"/>
    </xf>
    <xf numFmtId="3" fontId="31" fillId="12" borderId="13" xfId="3" applyNumberFormat="1" applyFont="1" applyFill="1" applyBorder="1" applyAlignment="1">
      <alignment vertical="center"/>
    </xf>
    <xf numFmtId="4" fontId="4" fillId="13" borderId="29" xfId="8" applyNumberFormat="1" applyFont="1" applyFill="1" applyBorder="1" applyAlignment="1">
      <alignment horizontal="right" vertical="center"/>
    </xf>
    <xf numFmtId="3" fontId="4" fillId="12" borderId="28" xfId="3" applyNumberFormat="1" applyFont="1" applyFill="1" applyBorder="1" applyAlignment="1">
      <alignment vertical="center"/>
    </xf>
    <xf numFmtId="3" fontId="4" fillId="12" borderId="13" xfId="3" applyNumberFormat="1" applyFont="1" applyFill="1" applyBorder="1" applyAlignment="1">
      <alignment vertical="center"/>
    </xf>
    <xf numFmtId="49" fontId="31" fillId="0" borderId="38" xfId="8" applyNumberFormat="1" applyFont="1" applyFill="1" applyBorder="1" applyAlignment="1">
      <alignment vertical="center"/>
    </xf>
    <xf numFmtId="3" fontId="4" fillId="12" borderId="33" xfId="3" applyNumberFormat="1" applyFont="1" applyFill="1" applyBorder="1" applyAlignment="1">
      <alignment vertical="center"/>
    </xf>
    <xf numFmtId="3" fontId="4" fillId="12" borderId="34" xfId="3" applyNumberFormat="1" applyFont="1" applyFill="1" applyBorder="1" applyAlignment="1">
      <alignment vertical="center"/>
    </xf>
    <xf numFmtId="4" fontId="4" fillId="13" borderId="35" xfId="8" applyNumberFormat="1" applyFont="1" applyFill="1" applyBorder="1" applyAlignment="1">
      <alignment horizontal="right" vertical="center"/>
    </xf>
    <xf numFmtId="3" fontId="4" fillId="12" borderId="31" xfId="3" applyNumberFormat="1" applyFont="1" applyFill="1" applyBorder="1" applyAlignment="1">
      <alignment vertical="center"/>
    </xf>
    <xf numFmtId="49" fontId="30" fillId="0" borderId="21" xfId="8" applyNumberFormat="1" applyFont="1" applyFill="1" applyBorder="1" applyAlignment="1">
      <alignment horizontal="justify" vertical="center"/>
    </xf>
    <xf numFmtId="49" fontId="4" fillId="0" borderId="41" xfId="8" applyNumberFormat="1" applyFont="1" applyFill="1" applyBorder="1" applyAlignment="1">
      <alignment horizontal="left" vertical="center"/>
    </xf>
    <xf numFmtId="3" fontId="4" fillId="12" borderId="53" xfId="3" applyNumberFormat="1" applyFont="1" applyFill="1" applyBorder="1" applyAlignment="1">
      <alignment vertical="center"/>
    </xf>
    <xf numFmtId="3" fontId="4" fillId="12" borderId="55" xfId="8" applyNumberFormat="1" applyFont="1" applyFill="1" applyBorder="1" applyAlignment="1">
      <alignment vertical="center"/>
    </xf>
    <xf numFmtId="3" fontId="4" fillId="12" borderId="25" xfId="3" applyNumberFormat="1" applyFont="1" applyFill="1" applyBorder="1" applyAlignment="1">
      <alignment vertical="center"/>
    </xf>
    <xf numFmtId="3" fontId="4" fillId="12" borderId="26" xfId="3" applyNumberFormat="1" applyFont="1" applyFill="1" applyBorder="1" applyAlignment="1">
      <alignment vertical="center"/>
    </xf>
    <xf numFmtId="49" fontId="4" fillId="0" borderId="44" xfId="8" applyNumberFormat="1" applyFont="1" applyFill="1" applyBorder="1" applyAlignment="1">
      <alignment horizontal="left" vertical="center"/>
    </xf>
    <xf numFmtId="3" fontId="4" fillId="12" borderId="13" xfId="8" applyNumberFormat="1" applyFont="1" applyFill="1" applyBorder="1" applyAlignment="1">
      <alignment vertical="center"/>
    </xf>
    <xf numFmtId="4" fontId="4" fillId="14" borderId="62" xfId="8" applyNumberFormat="1" applyFont="1" applyFill="1" applyBorder="1" applyAlignment="1">
      <alignment horizontal="right" vertical="center"/>
    </xf>
    <xf numFmtId="49" fontId="31" fillId="0" borderId="44" xfId="8" applyNumberFormat="1" applyFont="1" applyFill="1" applyBorder="1" applyAlignment="1">
      <alignment horizontal="left" vertical="center"/>
    </xf>
    <xf numFmtId="49" fontId="31" fillId="0" borderId="6" xfId="8" applyNumberFormat="1" applyFont="1" applyFill="1" applyBorder="1" applyAlignment="1">
      <alignment horizontal="left" vertical="center"/>
    </xf>
    <xf numFmtId="3" fontId="34" fillId="12" borderId="13" xfId="8" applyNumberFormat="1" applyFont="1" applyFill="1" applyBorder="1" applyAlignment="1">
      <alignment vertical="center"/>
    </xf>
    <xf numFmtId="3" fontId="34" fillId="12" borderId="13" xfId="3" applyNumberFormat="1" applyFont="1" applyFill="1" applyBorder="1" applyAlignment="1">
      <alignment vertical="center"/>
    </xf>
    <xf numFmtId="49" fontId="35" fillId="0" borderId="44" xfId="8" applyNumberFormat="1" applyFont="1" applyFill="1" applyBorder="1" applyAlignment="1">
      <alignment horizontal="left" vertical="center"/>
    </xf>
    <xf numFmtId="3" fontId="4" fillId="12" borderId="28" xfId="8" applyNumberFormat="1" applyFont="1" applyFill="1" applyBorder="1" applyAlignment="1">
      <alignment vertical="center"/>
    </xf>
    <xf numFmtId="49" fontId="35" fillId="0" borderId="36" xfId="8" applyNumberFormat="1" applyFont="1" applyFill="1" applyBorder="1" applyAlignment="1">
      <alignment horizontal="left" vertical="center"/>
    </xf>
    <xf numFmtId="3" fontId="4" fillId="12" borderId="34" xfId="8" applyNumberFormat="1" applyFont="1" applyFill="1" applyBorder="1" applyAlignment="1">
      <alignment vertical="center"/>
    </xf>
    <xf numFmtId="3" fontId="4" fillId="12" borderId="33" xfId="8" applyNumberFormat="1" applyFont="1" applyFill="1" applyBorder="1" applyAlignment="1">
      <alignment vertical="center"/>
    </xf>
    <xf numFmtId="4" fontId="4" fillId="14" borderId="35" xfId="8" applyNumberFormat="1" applyFont="1" applyFill="1" applyBorder="1" applyAlignment="1">
      <alignment horizontal="right" vertical="center"/>
    </xf>
    <xf numFmtId="49" fontId="30" fillId="0" borderId="19" xfId="8" applyNumberFormat="1" applyFont="1" applyFill="1" applyBorder="1" applyAlignment="1">
      <alignment vertical="center"/>
    </xf>
    <xf numFmtId="3" fontId="32" fillId="12" borderId="48" xfId="3" applyNumberFormat="1" applyFont="1" applyFill="1" applyBorder="1" applyAlignment="1">
      <alignment vertical="center"/>
    </xf>
    <xf numFmtId="3" fontId="32" fillId="12" borderId="49" xfId="3" applyNumberFormat="1" applyFont="1" applyFill="1" applyBorder="1" applyAlignment="1">
      <alignment vertical="center"/>
    </xf>
    <xf numFmtId="4" fontId="32" fillId="13" borderId="24" xfId="8" applyNumberFormat="1" applyFont="1" applyFill="1" applyBorder="1" applyAlignment="1">
      <alignment horizontal="right" vertical="center"/>
    </xf>
    <xf numFmtId="4" fontId="32" fillId="14" borderId="24" xfId="8" applyNumberFormat="1" applyFont="1" applyFill="1" applyBorder="1" applyAlignment="1">
      <alignment horizontal="right" vertical="center"/>
    </xf>
    <xf numFmtId="3" fontId="32" fillId="12" borderId="49" xfId="8" applyNumberFormat="1" applyFont="1" applyFill="1" applyBorder="1" applyAlignment="1">
      <alignment vertical="center"/>
    </xf>
    <xf numFmtId="4" fontId="4" fillId="13" borderId="24" xfId="8" applyNumberFormat="1" applyFont="1" applyFill="1" applyBorder="1" applyAlignment="1">
      <alignment horizontal="right" vertical="center"/>
    </xf>
    <xf numFmtId="3" fontId="32" fillId="12" borderId="48" xfId="8" applyNumberFormat="1" applyFont="1" applyFill="1" applyBorder="1" applyAlignment="1">
      <alignment vertical="center"/>
    </xf>
    <xf numFmtId="49" fontId="30" fillId="2" borderId="19" xfId="8" applyNumberFormat="1" applyFont="1" applyFill="1" applyBorder="1" applyAlignment="1">
      <alignment vertical="center" wrapText="1"/>
    </xf>
    <xf numFmtId="3" fontId="30" fillId="2" borderId="14" xfId="3" applyNumberFormat="1" applyFont="1" applyFill="1" applyBorder="1" applyAlignment="1">
      <alignment vertical="center"/>
    </xf>
    <xf numFmtId="49" fontId="4" fillId="14" borderId="59" xfId="8" applyNumberFormat="1" applyFont="1" applyFill="1" applyBorder="1" applyAlignment="1">
      <alignment vertical="center"/>
    </xf>
    <xf numFmtId="49" fontId="4" fillId="14" borderId="60" xfId="8" applyNumberFormat="1" applyFont="1" applyFill="1" applyBorder="1" applyAlignment="1">
      <alignment vertical="center"/>
    </xf>
    <xf numFmtId="49" fontId="30" fillId="0" borderId="2" xfId="8" applyNumberFormat="1" applyFont="1" applyFill="1" applyBorder="1" applyAlignment="1">
      <alignment vertical="center" wrapText="1"/>
    </xf>
    <xf numFmtId="4" fontId="35" fillId="13" borderId="24" xfId="8" applyNumberFormat="1" applyFont="1" applyFill="1" applyBorder="1" applyAlignment="1">
      <alignment horizontal="right" vertical="center"/>
    </xf>
    <xf numFmtId="4" fontId="35" fillId="14" borderId="24" xfId="8" applyNumberFormat="1" applyFont="1" applyFill="1" applyBorder="1" applyAlignment="1">
      <alignment horizontal="right" vertical="center"/>
    </xf>
    <xf numFmtId="49" fontId="4" fillId="14" borderId="56" xfId="8" applyNumberFormat="1" applyFont="1" applyFill="1" applyBorder="1" applyAlignment="1">
      <alignment vertical="center"/>
    </xf>
    <xf numFmtId="0" fontId="31" fillId="0" borderId="59" xfId="4" applyFont="1" applyBorder="1"/>
    <xf numFmtId="0" fontId="4" fillId="0" borderId="59" xfId="4" applyFont="1" applyBorder="1"/>
    <xf numFmtId="49" fontId="30" fillId="0" borderId="2" xfId="8" applyNumberFormat="1" applyFont="1" applyFill="1" applyBorder="1" applyAlignment="1">
      <alignment vertical="center"/>
    </xf>
    <xf numFmtId="3" fontId="36" fillId="12" borderId="48" xfId="3" applyNumberFormat="1" applyFont="1" applyFill="1" applyBorder="1" applyAlignment="1">
      <alignment vertical="center"/>
    </xf>
    <xf numFmtId="3" fontId="36" fillId="12" borderId="49" xfId="3" applyNumberFormat="1" applyFont="1" applyFill="1" applyBorder="1" applyAlignment="1">
      <alignment vertical="center"/>
    </xf>
    <xf numFmtId="3" fontId="30" fillId="2" borderId="48" xfId="8" applyNumberFormat="1" applyFont="1" applyFill="1" applyBorder="1" applyAlignment="1">
      <alignment vertical="center"/>
    </xf>
    <xf numFmtId="3" fontId="30" fillId="2" borderId="49" xfId="8" applyNumberFormat="1" applyFont="1" applyFill="1" applyBorder="1" applyAlignment="1">
      <alignment vertical="center"/>
    </xf>
    <xf numFmtId="4" fontId="30" fillId="2" borderId="24" xfId="8" applyNumberFormat="1" applyFont="1" applyFill="1" applyBorder="1" applyAlignment="1">
      <alignment vertical="center"/>
    </xf>
    <xf numFmtId="49" fontId="30" fillId="0" borderId="5" xfId="8" applyNumberFormat="1" applyFont="1" applyFill="1" applyBorder="1" applyAlignment="1">
      <alignment vertical="center"/>
    </xf>
    <xf numFmtId="3" fontId="30" fillId="12" borderId="53" xfId="3" applyNumberFormat="1" applyFont="1" applyFill="1" applyBorder="1" applyAlignment="1">
      <alignment vertical="center"/>
    </xf>
    <xf numFmtId="3" fontId="30" fillId="12" borderId="55" xfId="8" applyNumberFormat="1" applyFont="1" applyFill="1" applyBorder="1" applyAlignment="1">
      <alignment vertical="center"/>
    </xf>
    <xf numFmtId="4" fontId="30" fillId="13" borderId="62" xfId="8" applyNumberFormat="1" applyFont="1" applyFill="1" applyBorder="1" applyAlignment="1">
      <alignment horizontal="right" vertical="center"/>
    </xf>
    <xf numFmtId="3" fontId="30" fillId="12" borderId="25" xfId="3" applyNumberFormat="1" applyFont="1" applyFill="1" applyBorder="1" applyAlignment="1">
      <alignment vertical="center"/>
    </xf>
    <xf numFmtId="3" fontId="30" fillId="12" borderId="26" xfId="8" applyNumberFormat="1" applyFont="1" applyFill="1" applyBorder="1" applyAlignment="1">
      <alignment vertical="center"/>
    </xf>
    <xf numFmtId="4" fontId="30" fillId="14" borderId="27" xfId="8" applyNumberFormat="1" applyFont="1" applyFill="1" applyBorder="1" applyAlignment="1">
      <alignment horizontal="right" vertical="center"/>
    </xf>
    <xf numFmtId="49" fontId="30" fillId="0" borderId="3" xfId="8" applyNumberFormat="1" applyFont="1" applyFill="1" applyBorder="1" applyAlignment="1">
      <alignment vertical="center"/>
    </xf>
    <xf numFmtId="3" fontId="30" fillId="12" borderId="33" xfId="3" applyNumberFormat="1" applyFont="1" applyFill="1" applyBorder="1" applyAlignment="1">
      <alignment vertical="center"/>
    </xf>
    <xf numFmtId="3" fontId="30" fillId="12" borderId="34" xfId="3" applyNumberFormat="1" applyFont="1" applyFill="1" applyBorder="1" applyAlignment="1">
      <alignment vertical="center"/>
    </xf>
    <xf numFmtId="4" fontId="30" fillId="13" borderId="35" xfId="8" applyNumberFormat="1" applyFont="1" applyFill="1" applyBorder="1" applyAlignment="1">
      <alignment horizontal="right" vertical="center"/>
    </xf>
    <xf numFmtId="3" fontId="30" fillId="12" borderId="30" xfId="3" applyNumberFormat="1" applyFont="1" applyFill="1" applyBorder="1" applyAlignment="1">
      <alignment vertical="center"/>
    </xf>
    <xf numFmtId="3" fontId="30" fillId="12" borderId="31" xfId="3" applyNumberFormat="1" applyFont="1" applyFill="1" applyBorder="1" applyAlignment="1">
      <alignment vertical="center"/>
    </xf>
    <xf numFmtId="4" fontId="30" fillId="14" borderId="32" xfId="8" applyNumberFormat="1" applyFont="1" applyFill="1" applyBorder="1" applyAlignment="1">
      <alignment horizontal="right" vertical="center"/>
    </xf>
    <xf numFmtId="49" fontId="30" fillId="2" borderId="2" xfId="8" applyNumberFormat="1" applyFont="1" applyFill="1" applyBorder="1" applyAlignment="1">
      <alignment vertical="center"/>
    </xf>
    <xf numFmtId="4" fontId="30" fillId="2" borderId="24" xfId="8" applyNumberFormat="1" applyFont="1" applyFill="1" applyBorder="1" applyAlignment="1">
      <alignment horizontal="right" vertical="center"/>
    </xf>
    <xf numFmtId="4" fontId="35" fillId="0" borderId="0" xfId="3" applyNumberFormat="1" applyFont="1" applyFill="1" applyBorder="1" applyAlignment="1">
      <alignment vertical="center"/>
    </xf>
    <xf numFmtId="0" fontId="0" fillId="0" borderId="0" xfId="0" applyFill="1"/>
    <xf numFmtId="4" fontId="0" fillId="0" borderId="0" xfId="0" applyNumberFormat="1"/>
    <xf numFmtId="4" fontId="30" fillId="0" borderId="0" xfId="8" applyNumberFormat="1" applyFont="1" applyFill="1" applyBorder="1" applyAlignment="1">
      <alignment horizontal="right" vertical="center"/>
    </xf>
    <xf numFmtId="49" fontId="26" fillId="0" borderId="0" xfId="8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30" fillId="0" borderId="0" xfId="8" applyNumberFormat="1" applyFont="1" applyFill="1" applyBorder="1" applyAlignment="1">
      <alignment vertical="center"/>
    </xf>
    <xf numFmtId="4" fontId="30" fillId="0" borderId="0" xfId="8" applyNumberFormat="1" applyFont="1" applyFill="1" applyBorder="1" applyAlignment="1">
      <alignment vertical="center"/>
    </xf>
    <xf numFmtId="3" fontId="30" fillId="2" borderId="48" xfId="3" applyNumberFormat="1" applyFont="1" applyFill="1" applyBorder="1" applyAlignment="1">
      <alignment vertical="center"/>
    </xf>
    <xf numFmtId="3" fontId="30" fillId="2" borderId="49" xfId="3" applyNumberFormat="1" applyFont="1" applyFill="1" applyBorder="1" applyAlignment="1">
      <alignment vertical="center"/>
    </xf>
    <xf numFmtId="4" fontId="4" fillId="14" borderId="29" xfId="8" applyNumberFormat="1" applyFont="1" applyFill="1" applyBorder="1" applyAlignment="1">
      <alignment vertical="center"/>
    </xf>
    <xf numFmtId="49" fontId="4" fillId="11" borderId="3" xfId="8" applyNumberFormat="1" applyFont="1" applyFill="1" applyBorder="1" applyAlignment="1">
      <alignment vertical="center"/>
    </xf>
    <xf numFmtId="3" fontId="31" fillId="12" borderId="50" xfId="3" applyNumberFormat="1" applyFont="1" applyFill="1" applyBorder="1" applyAlignment="1">
      <alignment vertical="center"/>
    </xf>
    <xf numFmtId="3" fontId="31" fillId="12" borderId="63" xfId="3" applyNumberFormat="1" applyFont="1" applyFill="1" applyBorder="1" applyAlignment="1">
      <alignment vertical="center"/>
    </xf>
    <xf numFmtId="4" fontId="4" fillId="14" borderId="32" xfId="8" applyNumberFormat="1" applyFont="1" applyFill="1" applyBorder="1" applyAlignment="1">
      <alignment vertical="center"/>
    </xf>
    <xf numFmtId="4" fontId="4" fillId="2" borderId="24" xfId="8" applyNumberFormat="1" applyFont="1" applyFill="1" applyBorder="1" applyAlignment="1">
      <alignment horizontal="right" vertical="center"/>
    </xf>
    <xf numFmtId="4" fontId="4" fillId="2" borderId="24" xfId="8" applyNumberFormat="1" applyFont="1" applyFill="1" applyBorder="1" applyAlignment="1">
      <alignment vertical="center"/>
    </xf>
    <xf numFmtId="49" fontId="4" fillId="0" borderId="12" xfId="8" applyNumberFormat="1" applyFont="1" applyFill="1" applyBorder="1" applyAlignment="1">
      <alignment vertical="center"/>
    </xf>
    <xf numFmtId="3" fontId="31" fillId="12" borderId="26" xfId="3" applyNumberFormat="1" applyFont="1" applyFill="1" applyBorder="1" applyAlignment="1">
      <alignment vertical="center"/>
    </xf>
    <xf numFmtId="49" fontId="4" fillId="0" borderId="10" xfId="8" applyNumberFormat="1" applyFont="1" applyFill="1" applyBorder="1" applyAlignment="1">
      <alignment vertical="center"/>
    </xf>
    <xf numFmtId="49" fontId="4" fillId="0" borderId="6" xfId="8" applyNumberFormat="1" applyFont="1" applyFill="1" applyBorder="1" applyAlignment="1">
      <alignment vertical="center"/>
    </xf>
    <xf numFmtId="49" fontId="31" fillId="0" borderId="8" xfId="8" applyNumberFormat="1" applyFont="1" applyFill="1" applyBorder="1" applyAlignment="1">
      <alignment vertical="center"/>
    </xf>
    <xf numFmtId="49" fontId="30" fillId="0" borderId="2" xfId="8" applyNumberFormat="1" applyFont="1" applyFill="1" applyBorder="1" applyAlignment="1">
      <alignment horizontal="justify" vertical="center"/>
    </xf>
    <xf numFmtId="3" fontId="4" fillId="12" borderId="55" xfId="3" applyNumberFormat="1" applyFont="1" applyFill="1" applyBorder="1" applyAlignment="1">
      <alignment vertical="center"/>
    </xf>
    <xf numFmtId="4" fontId="32" fillId="14" borderId="29" xfId="8" applyNumberFormat="1" applyFont="1" applyFill="1" applyBorder="1" applyAlignment="1">
      <alignment horizontal="right" vertical="center"/>
    </xf>
    <xf numFmtId="4" fontId="32" fillId="14" borderId="35" xfId="8" applyNumberFormat="1" applyFont="1" applyFill="1" applyBorder="1" applyAlignment="1">
      <alignment horizontal="right" vertical="center"/>
    </xf>
    <xf numFmtId="49" fontId="30" fillId="2" borderId="2" xfId="8" applyNumberFormat="1" applyFont="1" applyFill="1" applyBorder="1" applyAlignment="1">
      <alignment vertical="center" wrapText="1"/>
    </xf>
    <xf numFmtId="4" fontId="30" fillId="2" borderId="24" xfId="3" applyNumberFormat="1" applyFont="1" applyFill="1" applyBorder="1" applyAlignment="1">
      <alignment vertical="center"/>
    </xf>
    <xf numFmtId="49" fontId="4" fillId="14" borderId="12" xfId="8" applyNumberFormat="1" applyFont="1" applyFill="1" applyBorder="1" applyAlignment="1">
      <alignment vertical="center"/>
    </xf>
    <xf numFmtId="49" fontId="4" fillId="14" borderId="6" xfId="8" applyNumberFormat="1" applyFont="1" applyFill="1" applyBorder="1" applyAlignment="1">
      <alignment vertical="center"/>
    </xf>
    <xf numFmtId="49" fontId="4" fillId="14" borderId="8" xfId="8" applyNumberFormat="1" applyFont="1" applyFill="1" applyBorder="1" applyAlignment="1">
      <alignment vertical="center"/>
    </xf>
    <xf numFmtId="3" fontId="32" fillId="12" borderId="64" xfId="3" applyNumberFormat="1" applyFont="1" applyFill="1" applyBorder="1" applyAlignment="1">
      <alignment vertical="center"/>
    </xf>
    <xf numFmtId="3" fontId="32" fillId="12" borderId="65" xfId="3" applyNumberFormat="1" applyFont="1" applyFill="1" applyBorder="1" applyAlignment="1">
      <alignment vertical="center"/>
    </xf>
    <xf numFmtId="3" fontId="37" fillId="12" borderId="48" xfId="3" applyNumberFormat="1" applyFont="1" applyFill="1" applyBorder="1" applyAlignment="1">
      <alignment vertical="center"/>
    </xf>
    <xf numFmtId="3" fontId="37" fillId="12" borderId="49" xfId="3" applyNumberFormat="1" applyFont="1" applyFill="1" applyBorder="1" applyAlignment="1">
      <alignment vertical="center"/>
    </xf>
    <xf numFmtId="3" fontId="35" fillId="12" borderId="26" xfId="8" applyNumberFormat="1" applyFont="1" applyFill="1" applyBorder="1" applyAlignment="1">
      <alignment vertical="center"/>
    </xf>
    <xf numFmtId="3" fontId="35" fillId="12" borderId="31" xfId="3" applyNumberFormat="1" applyFont="1" applyFill="1" applyBorder="1" applyAlignment="1">
      <alignment vertical="center"/>
    </xf>
    <xf numFmtId="4" fontId="32" fillId="0" borderId="0" xfId="8" applyNumberFormat="1" applyFont="1" applyFill="1" applyBorder="1" applyAlignment="1">
      <alignment horizontal="right" vertical="center"/>
    </xf>
    <xf numFmtId="49" fontId="1" fillId="0" borderId="0" xfId="8" applyNumberFormat="1" applyFont="1" applyAlignment="1">
      <alignment vertical="center"/>
    </xf>
    <xf numFmtId="4" fontId="1" fillId="0" borderId="0" xfId="8" applyNumberFormat="1" applyFont="1" applyFill="1" applyAlignment="1">
      <alignment vertical="center"/>
    </xf>
    <xf numFmtId="4" fontId="1" fillId="0" borderId="0" xfId="8" applyNumberFormat="1" applyFont="1" applyAlignment="1">
      <alignment vertical="center"/>
    </xf>
    <xf numFmtId="0" fontId="27" fillId="0" borderId="0" xfId="8" applyFont="1" applyFill="1" applyAlignment="1">
      <alignment horizontal="center" vertical="center"/>
    </xf>
    <xf numFmtId="4" fontId="27" fillId="0" borderId="0" xfId="8" applyNumberFormat="1" applyFont="1" applyFill="1" applyAlignment="1">
      <alignment horizontal="center" vertical="center"/>
    </xf>
    <xf numFmtId="4" fontId="34" fillId="0" borderId="0" xfId="8" applyNumberFormat="1" applyFont="1" applyFill="1" applyAlignment="1">
      <alignment horizontal="center" vertical="center"/>
    </xf>
    <xf numFmtId="3" fontId="30" fillId="2" borderId="64" xfId="3" applyNumberFormat="1" applyFont="1" applyFill="1" applyBorder="1" applyAlignment="1">
      <alignment vertical="center"/>
    </xf>
    <xf numFmtId="3" fontId="30" fillId="2" borderId="65" xfId="3" applyNumberFormat="1" applyFont="1" applyFill="1" applyBorder="1" applyAlignment="1">
      <alignment vertical="center"/>
    </xf>
    <xf numFmtId="4" fontId="30" fillId="2" borderId="66" xfId="8" applyNumberFormat="1" applyFont="1" applyFill="1" applyBorder="1" applyAlignment="1">
      <alignment horizontal="right" vertical="center"/>
    </xf>
    <xf numFmtId="49" fontId="4" fillId="11" borderId="42" xfId="8" applyNumberFormat="1" applyFont="1" applyFill="1" applyBorder="1" applyAlignment="1">
      <alignment vertical="center"/>
    </xf>
    <xf numFmtId="4" fontId="4" fillId="13" borderId="27" xfId="8" applyNumberFormat="1" applyFont="1" applyFill="1" applyBorder="1" applyAlignment="1">
      <alignment horizontal="right" vertical="center"/>
    </xf>
    <xf numFmtId="49" fontId="4" fillId="11" borderId="44" xfId="8" applyNumberFormat="1" applyFont="1" applyFill="1" applyBorder="1" applyAlignment="1">
      <alignment vertical="center"/>
    </xf>
    <xf numFmtId="4" fontId="4" fillId="13" borderId="29" xfId="8" applyNumberFormat="1" applyFont="1" applyFill="1" applyBorder="1" applyAlignment="1">
      <alignment vertical="center"/>
    </xf>
    <xf numFmtId="49" fontId="4" fillId="11" borderId="67" xfId="8" applyNumberFormat="1" applyFont="1" applyFill="1" applyBorder="1" applyAlignment="1">
      <alignment vertical="center"/>
    </xf>
    <xf numFmtId="4" fontId="4" fillId="13" borderId="32" xfId="8" applyNumberFormat="1" applyFont="1" applyFill="1" applyBorder="1" applyAlignment="1">
      <alignment horizontal="right" vertical="center"/>
    </xf>
    <xf numFmtId="49" fontId="30" fillId="2" borderId="18" xfId="8" applyNumberFormat="1" applyFont="1" applyFill="1" applyBorder="1" applyAlignment="1">
      <alignment vertical="center"/>
    </xf>
    <xf numFmtId="3" fontId="32" fillId="2" borderId="68" xfId="3" applyNumberFormat="1" applyFont="1" applyFill="1" applyBorder="1" applyAlignment="1">
      <alignment vertical="center"/>
    </xf>
    <xf numFmtId="4" fontId="32" fillId="13" borderId="24" xfId="8" applyNumberFormat="1" applyFont="1" applyFill="1" applyBorder="1" applyAlignment="1">
      <alignment vertical="center"/>
    </xf>
    <xf numFmtId="49" fontId="4" fillId="0" borderId="5" xfId="8" applyNumberFormat="1" applyFont="1" applyFill="1" applyBorder="1" applyAlignment="1">
      <alignment vertical="center"/>
    </xf>
    <xf numFmtId="4" fontId="4" fillId="13" borderId="27" xfId="8" applyNumberFormat="1" applyFont="1" applyFill="1" applyBorder="1" applyAlignment="1">
      <alignment vertical="center"/>
    </xf>
    <xf numFmtId="4" fontId="4" fillId="13" borderId="32" xfId="8" applyNumberFormat="1" applyFont="1" applyFill="1" applyBorder="1" applyAlignment="1">
      <alignment vertical="center"/>
    </xf>
    <xf numFmtId="4" fontId="4" fillId="13" borderId="24" xfId="8" applyNumberFormat="1" applyFont="1" applyFill="1" applyBorder="1" applyAlignment="1">
      <alignment vertical="center"/>
    </xf>
    <xf numFmtId="4" fontId="4" fillId="13" borderId="56" xfId="8" applyNumberFormat="1" applyFont="1" applyFill="1" applyBorder="1" applyAlignment="1">
      <alignment vertical="center"/>
    </xf>
    <xf numFmtId="4" fontId="4" fillId="13" borderId="62" xfId="8" applyNumberFormat="1" applyFont="1" applyFill="1" applyBorder="1" applyAlignment="1">
      <alignment vertical="center"/>
    </xf>
    <xf numFmtId="4" fontId="4" fillId="13" borderId="59" xfId="8" applyNumberFormat="1" applyFont="1" applyFill="1" applyBorder="1" applyAlignment="1">
      <alignment vertical="center"/>
    </xf>
    <xf numFmtId="4" fontId="4" fillId="13" borderId="60" xfId="8" applyNumberFormat="1" applyFont="1" applyFill="1" applyBorder="1" applyAlignment="1">
      <alignment vertical="center"/>
    </xf>
    <xf numFmtId="4" fontId="4" fillId="13" borderId="35" xfId="8" applyNumberFormat="1" applyFont="1" applyFill="1" applyBorder="1" applyAlignment="1">
      <alignment vertical="center"/>
    </xf>
    <xf numFmtId="3" fontId="32" fillId="12" borderId="50" xfId="3" applyNumberFormat="1" applyFont="1" applyFill="1" applyBorder="1" applyAlignment="1">
      <alignment vertical="center"/>
    </xf>
    <xf numFmtId="3" fontId="32" fillId="12" borderId="51" xfId="3" applyNumberFormat="1" applyFont="1" applyFill="1" applyBorder="1" applyAlignment="1">
      <alignment vertical="center"/>
    </xf>
    <xf numFmtId="4" fontId="32" fillId="13" borderId="52" xfId="8" applyNumberFormat="1" applyFont="1" applyFill="1" applyBorder="1" applyAlignment="1">
      <alignment vertical="center"/>
    </xf>
    <xf numFmtId="3" fontId="30" fillId="2" borderId="24" xfId="3" applyNumberFormat="1" applyFont="1" applyFill="1" applyBorder="1" applyAlignment="1">
      <alignment vertical="center"/>
    </xf>
    <xf numFmtId="49" fontId="4" fillId="14" borderId="10" xfId="8" applyNumberFormat="1" applyFont="1" applyFill="1" applyBorder="1" applyAlignment="1">
      <alignment vertical="center"/>
    </xf>
    <xf numFmtId="49" fontId="4" fillId="14" borderId="5" xfId="8" applyNumberFormat="1" applyFont="1" applyFill="1" applyBorder="1" applyAlignment="1">
      <alignment vertical="center"/>
    </xf>
    <xf numFmtId="4" fontId="35" fillId="13" borderId="27" xfId="8" applyNumberFormat="1" applyFont="1" applyFill="1" applyBorder="1" applyAlignment="1">
      <alignment horizontal="right" vertical="center"/>
    </xf>
    <xf numFmtId="4" fontId="35" fillId="13" borderId="29" xfId="8" applyNumberFormat="1" applyFont="1" applyFill="1" applyBorder="1" applyAlignment="1">
      <alignment horizontal="right" vertical="center"/>
    </xf>
    <xf numFmtId="0" fontId="31" fillId="0" borderId="6" xfId="4" applyFont="1" applyBorder="1"/>
    <xf numFmtId="0" fontId="4" fillId="0" borderId="6" xfId="4" applyFont="1" applyBorder="1"/>
    <xf numFmtId="4" fontId="35" fillId="13" borderId="32" xfId="8" applyNumberFormat="1" applyFont="1" applyFill="1" applyBorder="1" applyAlignment="1">
      <alignment horizontal="right" vertical="center"/>
    </xf>
    <xf numFmtId="4" fontId="30" fillId="13" borderId="27" xfId="8" applyNumberFormat="1" applyFont="1" applyFill="1" applyBorder="1" applyAlignment="1">
      <alignment horizontal="right" vertical="center"/>
    </xf>
    <xf numFmtId="4" fontId="30" fillId="13" borderId="32" xfId="8" applyNumberFormat="1" applyFont="1" applyFill="1" applyBorder="1" applyAlignment="1">
      <alignment horizontal="right" vertical="center"/>
    </xf>
    <xf numFmtId="3" fontId="32" fillId="2" borderId="48" xfId="8" applyNumberFormat="1" applyFont="1" applyFill="1" applyBorder="1" applyAlignment="1">
      <alignment vertical="center"/>
    </xf>
    <xf numFmtId="3" fontId="32" fillId="2" borderId="49" xfId="8" applyNumberFormat="1" applyFont="1" applyFill="1" applyBorder="1" applyAlignment="1">
      <alignment vertical="center"/>
    </xf>
    <xf numFmtId="4" fontId="0" fillId="0" borderId="0" xfId="0" applyNumberFormat="1" applyFill="1"/>
    <xf numFmtId="4" fontId="32" fillId="0" borderId="0" xfId="8" applyNumberFormat="1" applyFont="1" applyFill="1" applyBorder="1" applyAlignment="1">
      <alignment vertical="center"/>
    </xf>
    <xf numFmtId="49" fontId="30" fillId="14" borderId="0" xfId="8" applyNumberFormat="1" applyFont="1" applyFill="1" applyBorder="1" applyAlignment="1">
      <alignment vertical="center"/>
    </xf>
    <xf numFmtId="4" fontId="30" fillId="14" borderId="0" xfId="8" applyNumberFormat="1" applyFont="1" applyFill="1" applyBorder="1" applyAlignment="1">
      <alignment vertical="center"/>
    </xf>
    <xf numFmtId="4" fontId="4" fillId="14" borderId="0" xfId="8" applyNumberFormat="1" applyFont="1" applyFill="1" applyBorder="1" applyAlignment="1">
      <alignment vertical="center"/>
    </xf>
    <xf numFmtId="4" fontId="32" fillId="14" borderId="0" xfId="8" applyNumberFormat="1" applyFont="1" applyFill="1" applyBorder="1" applyAlignment="1">
      <alignment horizontal="right" vertical="center"/>
    </xf>
    <xf numFmtId="4" fontId="4" fillId="11" borderId="0" xfId="8" applyNumberFormat="1" applyFont="1" applyFill="1" applyBorder="1" applyAlignment="1">
      <alignment horizontal="right" vertical="center"/>
    </xf>
    <xf numFmtId="49" fontId="4" fillId="11" borderId="23" xfId="8" applyNumberFormat="1" applyFont="1" applyFill="1" applyBorder="1" applyAlignment="1">
      <alignment vertical="center"/>
    </xf>
    <xf numFmtId="3" fontId="31" fillId="12" borderId="30" xfId="3" applyNumberFormat="1" applyFont="1" applyFill="1" applyBorder="1" applyAlignment="1">
      <alignment vertical="center"/>
    </xf>
    <xf numFmtId="3" fontId="31" fillId="12" borderId="31" xfId="3" applyNumberFormat="1" applyFont="1" applyFill="1" applyBorder="1" applyAlignment="1">
      <alignment vertical="center"/>
    </xf>
    <xf numFmtId="3" fontId="32" fillId="2" borderId="50" xfId="3" applyNumberFormat="1" applyFont="1" applyFill="1" applyBorder="1" applyAlignment="1">
      <alignment vertical="center"/>
    </xf>
    <xf numFmtId="3" fontId="32" fillId="2" borderId="63" xfId="3" applyNumberFormat="1" applyFont="1" applyFill="1" applyBorder="1" applyAlignment="1">
      <alignment vertical="center"/>
    </xf>
    <xf numFmtId="4" fontId="4" fillId="2" borderId="52" xfId="8" applyNumberFormat="1" applyFont="1" applyFill="1" applyBorder="1" applyAlignment="1">
      <alignment vertical="center"/>
    </xf>
    <xf numFmtId="49" fontId="30" fillId="0" borderId="19" xfId="8" applyNumberFormat="1" applyFont="1" applyFill="1" applyBorder="1" applyAlignment="1">
      <alignment horizontal="justify" vertical="center"/>
    </xf>
    <xf numFmtId="49" fontId="4" fillId="0" borderId="12" xfId="8" applyNumberFormat="1" applyFont="1" applyFill="1" applyBorder="1" applyAlignment="1">
      <alignment horizontal="left" vertical="center"/>
    </xf>
    <xf numFmtId="3" fontId="4" fillId="12" borderId="54" xfId="3" applyNumberFormat="1" applyFont="1" applyFill="1" applyBorder="1" applyAlignment="1">
      <alignment vertical="center"/>
    </xf>
    <xf numFmtId="49" fontId="4" fillId="0" borderId="6" xfId="8" applyNumberFormat="1" applyFont="1" applyFill="1" applyBorder="1" applyAlignment="1">
      <alignment horizontal="left" vertical="center"/>
    </xf>
    <xf numFmtId="3" fontId="4" fillId="12" borderId="58" xfId="3" applyNumberFormat="1" applyFont="1" applyFill="1" applyBorder="1" applyAlignment="1">
      <alignment vertical="center"/>
    </xf>
    <xf numFmtId="3" fontId="4" fillId="12" borderId="69" xfId="3" applyNumberFormat="1" applyFont="1" applyFill="1" applyBorder="1" applyAlignment="1">
      <alignment vertical="center"/>
    </xf>
    <xf numFmtId="49" fontId="35" fillId="0" borderId="6" xfId="8" applyNumberFormat="1" applyFont="1" applyFill="1" applyBorder="1" applyAlignment="1">
      <alignment horizontal="left" vertical="center"/>
    </xf>
    <xf numFmtId="49" fontId="35" fillId="0" borderId="8" xfId="8" applyNumberFormat="1" applyFont="1" applyFill="1" applyBorder="1" applyAlignment="1">
      <alignment horizontal="left" vertical="center"/>
    </xf>
    <xf numFmtId="4" fontId="4" fillId="13" borderId="71" xfId="8" applyNumberFormat="1" applyFont="1" applyFill="1" applyBorder="1" applyAlignment="1">
      <alignment horizontal="right" vertical="center"/>
    </xf>
    <xf numFmtId="4" fontId="4" fillId="13" borderId="66" xfId="8" applyNumberFormat="1" applyFont="1" applyFill="1" applyBorder="1" applyAlignment="1">
      <alignment horizontal="right" vertical="center"/>
    </xf>
    <xf numFmtId="4" fontId="4" fillId="13" borderId="20" xfId="8" applyNumberFormat="1" applyFont="1" applyFill="1" applyBorder="1" applyAlignment="1">
      <alignment horizontal="right" vertical="center"/>
    </xf>
    <xf numFmtId="3" fontId="35" fillId="12" borderId="55" xfId="8" applyNumberFormat="1" applyFont="1" applyFill="1" applyBorder="1" applyAlignment="1">
      <alignment vertical="center"/>
    </xf>
    <xf numFmtId="3" fontId="35" fillId="12" borderId="34" xfId="3" applyNumberFormat="1" applyFont="1" applyFill="1" applyBorder="1" applyAlignment="1">
      <alignment vertical="center"/>
    </xf>
    <xf numFmtId="0" fontId="1" fillId="0" borderId="0" xfId="8" applyFont="1" applyAlignment="1">
      <alignment vertical="center"/>
    </xf>
    <xf numFmtId="4" fontId="32" fillId="13" borderId="72" xfId="8" applyNumberFormat="1" applyFont="1" applyFill="1" applyBorder="1" applyAlignment="1">
      <alignment horizontal="right" vertical="center"/>
    </xf>
    <xf numFmtId="3" fontId="30" fillId="2" borderId="47" xfId="3" applyNumberFormat="1" applyFont="1" applyFill="1" applyBorder="1" applyAlignment="1">
      <alignment vertical="center"/>
    </xf>
    <xf numFmtId="4" fontId="32" fillId="2" borderId="65" xfId="8" applyNumberFormat="1" applyFont="1" applyFill="1" applyBorder="1" applyAlignment="1">
      <alignment horizontal="right" vertical="center"/>
    </xf>
    <xf numFmtId="4" fontId="32" fillId="13" borderId="29" xfId="8" applyNumberFormat="1" applyFont="1" applyFill="1" applyBorder="1" applyAlignment="1">
      <alignment horizontal="right" vertical="center"/>
    </xf>
    <xf numFmtId="4" fontId="32" fillId="13" borderId="32" xfId="8" applyNumberFormat="1" applyFont="1" applyFill="1" applyBorder="1" applyAlignment="1">
      <alignment horizontal="right" vertical="center"/>
    </xf>
    <xf numFmtId="49" fontId="30" fillId="0" borderId="12" xfId="8" applyNumberFormat="1" applyFont="1" applyFill="1" applyBorder="1" applyAlignment="1">
      <alignment vertical="center"/>
    </xf>
    <xf numFmtId="4" fontId="4" fillId="15" borderId="27" xfId="8" applyNumberFormat="1" applyFont="1" applyFill="1" applyBorder="1" applyAlignment="1">
      <alignment horizontal="right" vertical="center"/>
    </xf>
    <xf numFmtId="49" fontId="30" fillId="0" borderId="23" xfId="8" applyNumberFormat="1" applyFont="1" applyFill="1" applyBorder="1" applyAlignment="1">
      <alignment vertical="center"/>
    </xf>
    <xf numFmtId="4" fontId="4" fillId="15" borderId="32" xfId="8" applyNumberFormat="1" applyFont="1" applyFill="1" applyBorder="1" applyAlignment="1">
      <alignment horizontal="right" vertical="center"/>
    </xf>
    <xf numFmtId="4" fontId="4" fillId="0" borderId="0" xfId="3" applyNumberFormat="1" applyFont="1" applyFill="1" applyBorder="1" applyAlignment="1">
      <alignment vertical="center"/>
    </xf>
    <xf numFmtId="3" fontId="30" fillId="2" borderId="50" xfId="8" applyNumberFormat="1" applyFont="1" applyFill="1" applyBorder="1" applyAlignment="1">
      <alignment vertical="center"/>
    </xf>
    <xf numFmtId="3" fontId="30" fillId="2" borderId="51" xfId="8" applyNumberFormat="1" applyFont="1" applyFill="1" applyBorder="1" applyAlignment="1">
      <alignment vertical="center"/>
    </xf>
    <xf numFmtId="3" fontId="4" fillId="12" borderId="55" xfId="8" applyNumberFormat="1" applyFont="1" applyFill="1" applyBorder="1" applyAlignment="1">
      <alignment horizontal="right" vertical="center"/>
    </xf>
    <xf numFmtId="3" fontId="4" fillId="12" borderId="13" xfId="8" applyNumberFormat="1" applyFont="1" applyFill="1" applyBorder="1" applyAlignment="1">
      <alignment horizontal="right" vertical="center"/>
    </xf>
    <xf numFmtId="3" fontId="31" fillId="12" borderId="64" xfId="3" applyNumberFormat="1" applyFont="1" applyFill="1" applyBorder="1" applyAlignment="1">
      <alignment vertical="center"/>
    </xf>
    <xf numFmtId="3" fontId="31" fillId="12" borderId="47" xfId="3" applyNumberFormat="1" applyFont="1" applyFill="1" applyBorder="1" applyAlignment="1">
      <alignment vertical="center"/>
    </xf>
    <xf numFmtId="3" fontId="4" fillId="12" borderId="34" xfId="8" applyNumberFormat="1" applyFont="1" applyFill="1" applyBorder="1" applyAlignment="1">
      <alignment horizontal="right" vertical="center"/>
    </xf>
    <xf numFmtId="3" fontId="4" fillId="12" borderId="26" xfId="8" applyNumberFormat="1" applyFont="1" applyFill="1" applyBorder="1" applyAlignment="1">
      <alignment horizontal="right" vertical="center"/>
    </xf>
    <xf numFmtId="3" fontId="4" fillId="12" borderId="31" xfId="8" applyNumberFormat="1" applyFont="1" applyFill="1" applyBorder="1" applyAlignment="1">
      <alignment horizontal="right" vertical="center"/>
    </xf>
    <xf numFmtId="3" fontId="30" fillId="12" borderId="48" xfId="8" applyNumberFormat="1" applyFont="1" applyFill="1" applyBorder="1" applyAlignment="1">
      <alignment vertical="center"/>
    </xf>
    <xf numFmtId="3" fontId="30" fillId="12" borderId="49" xfId="8" applyNumberFormat="1" applyFont="1" applyFill="1" applyBorder="1" applyAlignment="1">
      <alignment vertical="center"/>
    </xf>
    <xf numFmtId="3" fontId="32" fillId="12" borderId="49" xfId="8" applyNumberFormat="1" applyFont="1" applyFill="1" applyBorder="1" applyAlignment="1">
      <alignment horizontal="right" vertical="center"/>
    </xf>
    <xf numFmtId="4" fontId="32" fillId="13" borderId="27" xfId="8" applyNumberFormat="1" applyFont="1" applyFill="1" applyBorder="1" applyAlignment="1">
      <alignment horizontal="right" vertical="center"/>
    </xf>
    <xf numFmtId="4" fontId="30" fillId="13" borderId="29" xfId="8" applyNumberFormat="1" applyFont="1" applyFill="1" applyBorder="1" applyAlignment="1">
      <alignment horizontal="right" vertical="center"/>
    </xf>
    <xf numFmtId="4" fontId="4" fillId="13" borderId="22" xfId="8" applyNumberFormat="1" applyFont="1" applyFill="1" applyBorder="1" applyAlignment="1">
      <alignment horizontal="right" vertical="center"/>
    </xf>
    <xf numFmtId="4" fontId="4" fillId="13" borderId="73" xfId="8" applyNumberFormat="1" applyFont="1" applyFill="1" applyBorder="1" applyAlignment="1">
      <alignment horizontal="right" vertical="center"/>
    </xf>
    <xf numFmtId="4" fontId="4" fillId="13" borderId="4" xfId="8" applyNumberFormat="1" applyFont="1" applyFill="1" applyBorder="1" applyAlignment="1">
      <alignment horizontal="right" vertical="center"/>
    </xf>
    <xf numFmtId="4" fontId="4" fillId="13" borderId="74" xfId="8" applyNumberFormat="1" applyFont="1" applyFill="1" applyBorder="1" applyAlignment="1">
      <alignment horizontal="right" vertical="center"/>
    </xf>
    <xf numFmtId="4" fontId="30" fillId="13" borderId="20" xfId="8" applyNumberFormat="1" applyFont="1" applyFill="1" applyBorder="1" applyAlignment="1">
      <alignment horizontal="right" vertical="center"/>
    </xf>
    <xf numFmtId="3" fontId="35" fillId="12" borderId="51" xfId="8" applyNumberFormat="1" applyFont="1" applyFill="1" applyBorder="1" applyAlignment="1">
      <alignment vertical="center"/>
    </xf>
    <xf numFmtId="3" fontId="4" fillId="4" borderId="55" xfId="3" applyNumberFormat="1" applyFont="1" applyFill="1" applyBorder="1" applyAlignment="1">
      <alignment vertical="center"/>
    </xf>
    <xf numFmtId="3" fontId="4" fillId="4" borderId="13" xfId="3" applyNumberFormat="1" applyFont="1" applyFill="1" applyBorder="1" applyAlignment="1">
      <alignment vertical="center"/>
    </xf>
    <xf numFmtId="3" fontId="4" fillId="4" borderId="34" xfId="3" applyNumberFormat="1" applyFont="1" applyFill="1" applyBorder="1" applyAlignment="1">
      <alignment vertical="center"/>
    </xf>
    <xf numFmtId="3" fontId="4" fillId="4" borderId="26" xfId="3" applyNumberFormat="1" applyFont="1" applyFill="1" applyBorder="1" applyAlignment="1">
      <alignment vertical="center"/>
    </xf>
    <xf numFmtId="3" fontId="4" fillId="4" borderId="31" xfId="3" applyNumberFormat="1" applyFont="1" applyFill="1" applyBorder="1" applyAlignment="1">
      <alignment vertical="center"/>
    </xf>
    <xf numFmtId="3" fontId="30" fillId="4" borderId="49" xfId="3" applyNumberFormat="1" applyFont="1" applyFill="1" applyBorder="1" applyAlignment="1">
      <alignment vertical="center"/>
    </xf>
    <xf numFmtId="3" fontId="4" fillId="4" borderId="55" xfId="8" applyNumberFormat="1" applyFont="1" applyFill="1" applyBorder="1" applyAlignment="1">
      <alignment vertical="center"/>
    </xf>
    <xf numFmtId="3" fontId="34" fillId="4" borderId="13" xfId="3" applyNumberFormat="1" applyFont="1" applyFill="1" applyBorder="1" applyAlignment="1">
      <alignment vertical="center"/>
    </xf>
    <xf numFmtId="3" fontId="32" fillId="4" borderId="49" xfId="3" applyNumberFormat="1" applyFont="1" applyFill="1" applyBorder="1" applyAlignment="1">
      <alignment vertical="center"/>
    </xf>
    <xf numFmtId="3" fontId="36" fillId="4" borderId="49" xfId="3" applyNumberFormat="1" applyFont="1" applyFill="1" applyBorder="1" applyAlignment="1">
      <alignment vertical="center"/>
    </xf>
    <xf numFmtId="3" fontId="30" fillId="4" borderId="55" xfId="8" applyNumberFormat="1" applyFont="1" applyFill="1" applyBorder="1" applyAlignment="1">
      <alignment vertical="center"/>
    </xf>
    <xf numFmtId="3" fontId="30" fillId="4" borderId="34" xfId="3" applyNumberFormat="1" applyFont="1" applyFill="1" applyBorder="1" applyAlignment="1">
      <alignment vertical="center"/>
    </xf>
    <xf numFmtId="3" fontId="30" fillId="4" borderId="26" xfId="8" applyNumberFormat="1" applyFont="1" applyFill="1" applyBorder="1" applyAlignment="1">
      <alignment vertical="center"/>
    </xf>
    <xf numFmtId="3" fontId="30" fillId="4" borderId="31" xfId="3" applyNumberFormat="1" applyFont="1" applyFill="1" applyBorder="1" applyAlignment="1">
      <alignment vertical="center"/>
    </xf>
    <xf numFmtId="3" fontId="32" fillId="4" borderId="65" xfId="3" applyNumberFormat="1" applyFont="1" applyFill="1" applyBorder="1" applyAlignment="1">
      <alignment vertical="center"/>
    </xf>
    <xf numFmtId="3" fontId="37" fillId="4" borderId="49" xfId="3" applyNumberFormat="1" applyFont="1" applyFill="1" applyBorder="1" applyAlignment="1">
      <alignment vertical="center"/>
    </xf>
    <xf numFmtId="3" fontId="35" fillId="4" borderId="26" xfId="8" applyNumberFormat="1" applyFont="1" applyFill="1" applyBorder="1" applyAlignment="1">
      <alignment vertical="center"/>
    </xf>
    <xf numFmtId="3" fontId="35" fillId="4" borderId="31" xfId="3" applyNumberFormat="1" applyFont="1" applyFill="1" applyBorder="1" applyAlignment="1">
      <alignment vertical="center"/>
    </xf>
    <xf numFmtId="3" fontId="32" fillId="4" borderId="51" xfId="3" applyNumberFormat="1" applyFont="1" applyFill="1" applyBorder="1" applyAlignment="1">
      <alignment vertical="center"/>
    </xf>
    <xf numFmtId="3" fontId="4" fillId="4" borderId="70" xfId="3" applyNumberFormat="1" applyFont="1" applyFill="1" applyBorder="1" applyAlignment="1">
      <alignment vertical="center"/>
    </xf>
    <xf numFmtId="3" fontId="4" fillId="4" borderId="58" xfId="3" applyNumberFormat="1" applyFont="1" applyFill="1" applyBorder="1" applyAlignment="1">
      <alignment vertical="center"/>
    </xf>
    <xf numFmtId="3" fontId="4" fillId="4" borderId="47" xfId="3" applyNumberFormat="1" applyFont="1" applyFill="1" applyBorder="1" applyAlignment="1">
      <alignment vertical="center"/>
    </xf>
    <xf numFmtId="3" fontId="4" fillId="4" borderId="65" xfId="3" applyNumberFormat="1" applyFont="1" applyFill="1" applyBorder="1" applyAlignment="1">
      <alignment vertical="center"/>
    </xf>
    <xf numFmtId="3" fontId="35" fillId="4" borderId="55" xfId="8" applyNumberFormat="1" applyFont="1" applyFill="1" applyBorder="1" applyAlignment="1">
      <alignment vertical="center"/>
    </xf>
    <xf numFmtId="3" fontId="35" fillId="4" borderId="34" xfId="3" applyNumberFormat="1" applyFont="1" applyFill="1" applyBorder="1" applyAlignment="1">
      <alignment vertical="center"/>
    </xf>
    <xf numFmtId="3" fontId="4" fillId="4" borderId="26" xfId="8" applyNumberFormat="1" applyFont="1" applyFill="1" applyBorder="1" applyAlignment="1">
      <alignment vertical="center"/>
    </xf>
    <xf numFmtId="3" fontId="4" fillId="4" borderId="55" xfId="8" applyNumberFormat="1" applyFont="1" applyFill="1" applyBorder="1" applyAlignment="1">
      <alignment horizontal="right" vertical="center"/>
    </xf>
    <xf numFmtId="3" fontId="4" fillId="4" borderId="13" xfId="8" applyNumberFormat="1" applyFont="1" applyFill="1" applyBorder="1" applyAlignment="1">
      <alignment horizontal="right" vertical="center"/>
    </xf>
    <xf numFmtId="3" fontId="4" fillId="4" borderId="34" xfId="8" applyNumberFormat="1" applyFont="1" applyFill="1" applyBorder="1" applyAlignment="1">
      <alignment horizontal="right" vertical="center"/>
    </xf>
    <xf numFmtId="3" fontId="4" fillId="4" borderId="13" xfId="3" applyNumberFormat="1" applyFont="1" applyFill="1" applyBorder="1" applyAlignment="1">
      <alignment horizontal="right" vertical="center"/>
    </xf>
    <xf numFmtId="3" fontId="4" fillId="4" borderId="31" xfId="3" applyNumberFormat="1" applyFont="1" applyFill="1" applyBorder="1" applyAlignment="1">
      <alignment horizontal="right" vertical="center"/>
    </xf>
    <xf numFmtId="3" fontId="32" fillId="4" borderId="49" xfId="3" applyNumberFormat="1" applyFont="1" applyFill="1" applyBorder="1" applyAlignment="1">
      <alignment horizontal="right" vertical="center"/>
    </xf>
    <xf numFmtId="3" fontId="4" fillId="4" borderId="26" xfId="8" applyNumberFormat="1" applyFont="1" applyFill="1" applyBorder="1" applyAlignment="1">
      <alignment horizontal="right" vertical="center"/>
    </xf>
    <xf numFmtId="3" fontId="4" fillId="4" borderId="31" xfId="8" applyNumberFormat="1" applyFont="1" applyFill="1" applyBorder="1" applyAlignment="1">
      <alignment horizontal="right" vertical="center"/>
    </xf>
    <xf numFmtId="3" fontId="30" fillId="4" borderId="49" xfId="8" applyNumberFormat="1" applyFont="1" applyFill="1" applyBorder="1" applyAlignment="1">
      <alignment vertical="center"/>
    </xf>
    <xf numFmtId="3" fontId="32" fillId="4" borderId="49" xfId="8" applyNumberFormat="1" applyFont="1" applyFill="1" applyBorder="1" applyAlignment="1">
      <alignment vertical="center"/>
    </xf>
    <xf numFmtId="3" fontId="32" fillId="4" borderId="49" xfId="8" applyNumberFormat="1" applyFont="1" applyFill="1" applyBorder="1" applyAlignment="1">
      <alignment horizontal="right" vertical="center"/>
    </xf>
    <xf numFmtId="3" fontId="30" fillId="4" borderId="26" xfId="3" applyNumberFormat="1" applyFont="1" applyFill="1" applyBorder="1" applyAlignment="1">
      <alignment vertical="center"/>
    </xf>
    <xf numFmtId="3" fontId="30" fillId="4" borderId="13" xfId="3" applyNumberFormat="1" applyFont="1" applyFill="1" applyBorder="1" applyAlignment="1">
      <alignment vertical="center"/>
    </xf>
    <xf numFmtId="3" fontId="35" fillId="4" borderId="51" xfId="8" applyNumberFormat="1" applyFont="1" applyFill="1" applyBorder="1" applyAlignment="1">
      <alignment vertical="center"/>
    </xf>
    <xf numFmtId="0" fontId="1" fillId="0" borderId="0" xfId="6"/>
    <xf numFmtId="4" fontId="1" fillId="0" borderId="0" xfId="6" applyNumberFormat="1"/>
    <xf numFmtId="0" fontId="38" fillId="0" borderId="1" xfId="6" applyFont="1" applyFill="1" applyBorder="1" applyAlignment="1">
      <alignment horizontal="left" vertical="center"/>
    </xf>
    <xf numFmtId="0" fontId="3" fillId="0" borderId="1" xfId="6" applyFont="1" applyBorder="1" applyAlignment="1">
      <alignment horizontal="right" vertical="center" wrapText="1"/>
    </xf>
    <xf numFmtId="0" fontId="7" fillId="2" borderId="2" xfId="6" applyFont="1" applyFill="1" applyBorder="1" applyAlignment="1">
      <alignment horizontal="center" vertical="center" wrapText="1"/>
    </xf>
    <xf numFmtId="0" fontId="8" fillId="2" borderId="2" xfId="6" applyFont="1" applyFill="1" applyBorder="1" applyAlignment="1">
      <alignment horizontal="center" vertical="center" wrapText="1"/>
    </xf>
    <xf numFmtId="0" fontId="39" fillId="0" borderId="67" xfId="6" applyFont="1" applyFill="1" applyBorder="1" applyAlignment="1">
      <alignment vertical="center"/>
    </xf>
    <xf numFmtId="49" fontId="22" fillId="3" borderId="18" xfId="6" applyNumberFormat="1" applyFont="1" applyFill="1" applyBorder="1" applyAlignment="1">
      <alignment horizontal="center" vertical="center"/>
    </xf>
    <xf numFmtId="49" fontId="22" fillId="4" borderId="18" xfId="6" applyNumberFormat="1" applyFont="1" applyFill="1" applyBorder="1" applyAlignment="1">
      <alignment horizontal="center" vertical="center"/>
    </xf>
    <xf numFmtId="4" fontId="22" fillId="4" borderId="18" xfId="6" applyNumberFormat="1" applyFont="1" applyFill="1" applyBorder="1" applyAlignment="1">
      <alignment horizontal="center" vertical="center"/>
    </xf>
    <xf numFmtId="0" fontId="13" fillId="0" borderId="42" xfId="6" applyFont="1" applyFill="1" applyBorder="1" applyAlignment="1">
      <alignment vertical="center"/>
    </xf>
    <xf numFmtId="3" fontId="13" fillId="3" borderId="3" xfId="6" applyNumberFormat="1" applyFont="1" applyFill="1" applyBorder="1" applyAlignment="1">
      <alignment horizontal="right"/>
    </xf>
    <xf numFmtId="3" fontId="13" fillId="4" borderId="3" xfId="6" applyNumberFormat="1" applyFont="1" applyFill="1" applyBorder="1" applyAlignment="1">
      <alignment horizontal="right"/>
    </xf>
    <xf numFmtId="4" fontId="13" fillId="4" borderId="3" xfId="6" applyNumberFormat="1" applyFont="1" applyFill="1" applyBorder="1" applyAlignment="1">
      <alignment horizontal="right"/>
    </xf>
    <xf numFmtId="3" fontId="13" fillId="3" borderId="6" xfId="6" applyNumberFormat="1" applyFont="1" applyFill="1" applyBorder="1" applyAlignment="1">
      <alignment horizontal="right"/>
    </xf>
    <xf numFmtId="3" fontId="13" fillId="4" borderId="6" xfId="6" applyNumberFormat="1" applyFont="1" applyFill="1" applyBorder="1" applyAlignment="1">
      <alignment horizontal="right"/>
    </xf>
    <xf numFmtId="4" fontId="13" fillId="4" borderId="6" xfId="6" applyNumberFormat="1" applyFont="1" applyFill="1" applyBorder="1" applyAlignment="1">
      <alignment horizontal="right"/>
    </xf>
    <xf numFmtId="3" fontId="13" fillId="3" borderId="5" xfId="6" applyNumberFormat="1" applyFont="1" applyFill="1" applyBorder="1" applyAlignment="1">
      <alignment horizontal="right"/>
    </xf>
    <xf numFmtId="3" fontId="13" fillId="4" borderId="5" xfId="6" applyNumberFormat="1" applyFont="1" applyFill="1" applyBorder="1" applyAlignment="1">
      <alignment horizontal="right"/>
    </xf>
    <xf numFmtId="4" fontId="13" fillId="4" borderId="5" xfId="6" applyNumberFormat="1" applyFont="1" applyFill="1" applyBorder="1" applyAlignment="1">
      <alignment horizontal="right"/>
    </xf>
    <xf numFmtId="0" fontId="13" fillId="0" borderId="44" xfId="6" applyFont="1" applyFill="1" applyBorder="1" applyAlignment="1">
      <alignment vertical="center"/>
    </xf>
    <xf numFmtId="0" fontId="6" fillId="0" borderId="36" xfId="6" applyFont="1" applyFill="1" applyBorder="1" applyAlignment="1">
      <alignment vertical="center"/>
    </xf>
    <xf numFmtId="3" fontId="6" fillId="3" borderId="6" xfId="6" applyNumberFormat="1" applyFont="1" applyFill="1" applyBorder="1" applyAlignment="1">
      <alignment horizontal="right"/>
    </xf>
    <xf numFmtId="3" fontId="6" fillId="4" borderId="6" xfId="6" applyNumberFormat="1" applyFont="1" applyFill="1" applyBorder="1" applyAlignment="1">
      <alignment horizontal="right"/>
    </xf>
    <xf numFmtId="4" fontId="6" fillId="4" borderId="6" xfId="6" applyNumberFormat="1" applyFont="1" applyFill="1" applyBorder="1" applyAlignment="1">
      <alignment horizontal="right"/>
    </xf>
    <xf numFmtId="49" fontId="6" fillId="0" borderId="44" xfId="6" applyNumberFormat="1" applyFont="1" applyFill="1" applyBorder="1" applyAlignment="1">
      <alignment vertical="center"/>
    </xf>
    <xf numFmtId="0" fontId="6" fillId="0" borderId="44" xfId="6" applyFont="1" applyFill="1" applyBorder="1" applyAlignment="1">
      <alignment vertical="center"/>
    </xf>
    <xf numFmtId="0" fontId="6" fillId="0" borderId="67" xfId="6" applyFont="1" applyFill="1" applyBorder="1" applyAlignment="1">
      <alignment vertical="center"/>
    </xf>
    <xf numFmtId="3" fontId="6" fillId="3" borderId="3" xfId="6" applyNumberFormat="1" applyFont="1" applyFill="1" applyBorder="1" applyAlignment="1">
      <alignment horizontal="right"/>
    </xf>
    <xf numFmtId="3" fontId="6" fillId="4" borderId="3" xfId="6" applyNumberFormat="1" applyFont="1" applyFill="1" applyBorder="1" applyAlignment="1">
      <alignment horizontal="right"/>
    </xf>
    <xf numFmtId="4" fontId="6" fillId="4" borderId="3" xfId="6" applyNumberFormat="1" applyFont="1" applyFill="1" applyBorder="1" applyAlignment="1">
      <alignment horizontal="right"/>
    </xf>
    <xf numFmtId="0" fontId="6" fillId="0" borderId="21" xfId="6" applyFont="1" applyFill="1" applyBorder="1" applyAlignment="1">
      <alignment vertical="center"/>
    </xf>
    <xf numFmtId="3" fontId="6" fillId="3" borderId="23" xfId="6" applyNumberFormat="1" applyFont="1" applyFill="1" applyBorder="1" applyAlignment="1">
      <alignment horizontal="right"/>
    </xf>
    <xf numFmtId="3" fontId="6" fillId="4" borderId="23" xfId="6" applyNumberFormat="1" applyFont="1" applyFill="1" applyBorder="1" applyAlignment="1">
      <alignment horizontal="right"/>
    </xf>
    <xf numFmtId="4" fontId="6" fillId="4" borderId="23" xfId="6" applyNumberFormat="1" applyFont="1" applyFill="1" applyBorder="1" applyAlignment="1">
      <alignment horizontal="right"/>
    </xf>
    <xf numFmtId="0" fontId="6" fillId="0" borderId="0" xfId="6" applyFont="1" applyFill="1" applyBorder="1" applyAlignment="1">
      <alignment vertical="center"/>
    </xf>
    <xf numFmtId="3" fontId="6" fillId="0" borderId="0" xfId="6" applyNumberFormat="1" applyFont="1" applyFill="1" applyBorder="1" applyAlignment="1">
      <alignment horizontal="right"/>
    </xf>
    <xf numFmtId="0" fontId="18" fillId="0" borderId="1" xfId="6" applyFont="1" applyFill="1" applyBorder="1" applyAlignment="1">
      <alignment horizontal="left" vertical="center" wrapText="1"/>
    </xf>
    <xf numFmtId="0" fontId="13" fillId="0" borderId="6" xfId="6" applyFont="1" applyFill="1" applyBorder="1" applyAlignment="1">
      <alignment vertical="center"/>
    </xf>
    <xf numFmtId="0" fontId="6" fillId="0" borderId="6" xfId="6" applyFont="1" applyFill="1" applyBorder="1" applyAlignment="1">
      <alignment vertical="center"/>
    </xf>
    <xf numFmtId="3" fontId="6" fillId="3" borderId="5" xfId="6" applyNumberFormat="1" applyFont="1" applyFill="1" applyBorder="1" applyAlignment="1">
      <alignment horizontal="right"/>
    </xf>
    <xf numFmtId="3" fontId="6" fillId="4" borderId="5" xfId="6" applyNumberFormat="1" applyFont="1" applyFill="1" applyBorder="1" applyAlignment="1">
      <alignment horizontal="right"/>
    </xf>
    <xf numFmtId="4" fontId="6" fillId="4" borderId="5" xfId="6" applyNumberFormat="1" applyFont="1" applyFill="1" applyBorder="1" applyAlignment="1">
      <alignment horizontal="right"/>
    </xf>
    <xf numFmtId="49" fontId="6" fillId="0" borderId="6" xfId="6" applyNumberFormat="1" applyFont="1" applyFill="1" applyBorder="1" applyAlignment="1">
      <alignment vertical="center"/>
    </xf>
    <xf numFmtId="0" fontId="40" fillId="0" borderId="6" xfId="6" applyFont="1" applyFill="1" applyBorder="1" applyAlignment="1">
      <alignment vertical="center"/>
    </xf>
    <xf numFmtId="14" fontId="40" fillId="0" borderId="6" xfId="6" applyNumberFormat="1" applyFont="1" applyFill="1" applyBorder="1" applyAlignment="1">
      <alignment vertical="center"/>
    </xf>
    <xf numFmtId="3" fontId="40" fillId="3" borderId="6" xfId="6" applyNumberFormat="1" applyFont="1" applyFill="1" applyBorder="1" applyAlignment="1">
      <alignment horizontal="right"/>
    </xf>
    <xf numFmtId="3" fontId="40" fillId="4" borderId="6" xfId="6" applyNumberFormat="1" applyFont="1" applyFill="1" applyBorder="1" applyAlignment="1">
      <alignment horizontal="right"/>
    </xf>
    <xf numFmtId="4" fontId="40" fillId="4" borderId="6" xfId="6" applyNumberFormat="1" applyFont="1" applyFill="1" applyBorder="1" applyAlignment="1">
      <alignment horizontal="right"/>
    </xf>
    <xf numFmtId="3" fontId="6" fillId="3" borderId="10" xfId="6" applyNumberFormat="1" applyFont="1" applyFill="1" applyBorder="1" applyAlignment="1">
      <alignment horizontal="right"/>
    </xf>
    <xf numFmtId="3" fontId="6" fillId="4" borderId="10" xfId="6" applyNumberFormat="1" applyFont="1" applyFill="1" applyBorder="1" applyAlignment="1">
      <alignment horizontal="right"/>
    </xf>
    <xf numFmtId="4" fontId="6" fillId="4" borderId="10" xfId="6" applyNumberFormat="1" applyFont="1" applyFill="1" applyBorder="1" applyAlignment="1">
      <alignment horizontal="right"/>
    </xf>
    <xf numFmtId="49" fontId="13" fillId="0" borderId="10" xfId="6" applyNumberFormat="1" applyFont="1" applyFill="1" applyBorder="1" applyAlignment="1">
      <alignment vertical="center"/>
    </xf>
    <xf numFmtId="3" fontId="13" fillId="3" borderId="10" xfId="6" applyNumberFormat="1" applyFont="1" applyFill="1" applyBorder="1" applyAlignment="1">
      <alignment horizontal="right"/>
    </xf>
    <xf numFmtId="3" fontId="13" fillId="4" borderId="10" xfId="6" applyNumberFormat="1" applyFont="1" applyFill="1" applyBorder="1" applyAlignment="1">
      <alignment horizontal="right"/>
    </xf>
    <xf numFmtId="4" fontId="13" fillId="4" borderId="10" xfId="6" applyNumberFormat="1" applyFont="1" applyFill="1" applyBorder="1" applyAlignment="1">
      <alignment horizontal="right"/>
    </xf>
    <xf numFmtId="0" fontId="9" fillId="0" borderId="0" xfId="6" applyFont="1"/>
    <xf numFmtId="4" fontId="9" fillId="0" borderId="0" xfId="6" applyNumberFormat="1" applyFont="1"/>
    <xf numFmtId="49" fontId="3" fillId="0" borderId="10" xfId="6" applyNumberFormat="1" applyFont="1" applyFill="1" applyBorder="1" applyAlignment="1">
      <alignment vertical="center"/>
    </xf>
    <xf numFmtId="0" fontId="3" fillId="0" borderId="8" xfId="6" applyFont="1" applyFill="1" applyBorder="1" applyAlignment="1">
      <alignment vertical="center"/>
    </xf>
    <xf numFmtId="3" fontId="6" fillId="3" borderId="8" xfId="6" applyNumberFormat="1" applyFont="1" applyFill="1" applyBorder="1" applyAlignment="1">
      <alignment horizontal="right"/>
    </xf>
    <xf numFmtId="3" fontId="6" fillId="4" borderId="8" xfId="6" applyNumberFormat="1" applyFont="1" applyFill="1" applyBorder="1" applyAlignment="1">
      <alignment horizontal="right"/>
    </xf>
    <xf numFmtId="4" fontId="6" fillId="4" borderId="8" xfId="6" applyNumberFormat="1" applyFont="1" applyFill="1" applyBorder="1" applyAlignment="1">
      <alignment horizontal="right"/>
    </xf>
    <xf numFmtId="0" fontId="3" fillId="0" borderId="1" xfId="1" applyFont="1" applyFill="1" applyBorder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20" fillId="7" borderId="19" xfId="7" applyFont="1" applyFill="1" applyBorder="1" applyAlignment="1">
      <alignment horizontal="center" vertical="center" wrapText="1"/>
    </xf>
    <xf numFmtId="0" fontId="20" fillId="7" borderId="20" xfId="7" applyFont="1" applyFill="1" applyBorder="1" applyAlignment="1">
      <alignment horizontal="center" vertical="center" wrapText="1"/>
    </xf>
    <xf numFmtId="0" fontId="19" fillId="0" borderId="0" xfId="5" applyFont="1" applyBorder="1" applyAlignment="1">
      <alignment horizontal="center"/>
    </xf>
    <xf numFmtId="0" fontId="20" fillId="7" borderId="15" xfId="5" applyFont="1" applyFill="1" applyBorder="1" applyAlignment="1">
      <alignment horizontal="center" vertical="center" wrapText="1"/>
    </xf>
    <xf numFmtId="0" fontId="20" fillId="7" borderId="16" xfId="5" applyFont="1" applyFill="1" applyBorder="1" applyAlignment="1">
      <alignment horizontal="center" vertical="center" wrapText="1"/>
    </xf>
    <xf numFmtId="0" fontId="20" fillId="7" borderId="17" xfId="5" applyFont="1" applyFill="1" applyBorder="1" applyAlignment="1">
      <alignment horizontal="center" vertical="center" wrapText="1"/>
    </xf>
    <xf numFmtId="0" fontId="20" fillId="7" borderId="21" xfId="5" applyFont="1" applyFill="1" applyBorder="1" applyAlignment="1">
      <alignment horizontal="center" vertical="center" wrapText="1"/>
    </xf>
    <xf numFmtId="0" fontId="20" fillId="7" borderId="1" xfId="5" applyFont="1" applyFill="1" applyBorder="1" applyAlignment="1">
      <alignment horizontal="center" vertical="center" wrapText="1"/>
    </xf>
    <xf numFmtId="0" fontId="20" fillId="7" borderId="22" xfId="5" applyFont="1" applyFill="1" applyBorder="1" applyAlignment="1">
      <alignment horizontal="center" vertical="center" wrapText="1"/>
    </xf>
    <xf numFmtId="0" fontId="12" fillId="7" borderId="18" xfId="6" applyFont="1" applyFill="1" applyBorder="1" applyAlignment="1">
      <alignment horizontal="center" vertical="center" wrapText="1"/>
    </xf>
    <xf numFmtId="0" fontId="12" fillId="7" borderId="23" xfId="6" applyFont="1" applyFill="1" applyBorder="1" applyAlignment="1">
      <alignment horizontal="center" vertical="center" wrapText="1"/>
    </xf>
    <xf numFmtId="3" fontId="22" fillId="3" borderId="41" xfId="6" applyNumberFormat="1" applyFont="1" applyFill="1" applyBorder="1" applyAlignment="1">
      <alignment horizontal="center"/>
    </xf>
    <xf numFmtId="3" fontId="22" fillId="3" borderId="4" xfId="6" applyNumberFormat="1" applyFont="1" applyFill="1" applyBorder="1" applyAlignment="1">
      <alignment horizontal="center"/>
    </xf>
    <xf numFmtId="3" fontId="22" fillId="4" borderId="41" xfId="6" applyNumberFormat="1" applyFont="1" applyFill="1" applyBorder="1" applyAlignment="1">
      <alignment horizontal="center"/>
    </xf>
    <xf numFmtId="3" fontId="22" fillId="4" borderId="4" xfId="6" applyNumberFormat="1" applyFont="1" applyFill="1" applyBorder="1" applyAlignment="1">
      <alignment horizontal="center"/>
    </xf>
    <xf numFmtId="4" fontId="22" fillId="4" borderId="41" xfId="6" applyNumberFormat="1" applyFont="1" applyFill="1" applyBorder="1" applyAlignment="1">
      <alignment horizontal="center"/>
    </xf>
    <xf numFmtId="4" fontId="22" fillId="4" borderId="4" xfId="6" applyNumberFormat="1" applyFont="1" applyFill="1" applyBorder="1" applyAlignment="1">
      <alignment horizontal="center"/>
    </xf>
    <xf numFmtId="0" fontId="20" fillId="9" borderId="38" xfId="5" applyFont="1" applyFill="1" applyBorder="1" applyAlignment="1">
      <alignment horizontal="left" indent="1"/>
    </xf>
    <xf numFmtId="0" fontId="12" fillId="9" borderId="39" xfId="6" applyFont="1" applyFill="1" applyBorder="1" applyAlignment="1">
      <alignment horizontal="left" indent="1"/>
    </xf>
    <xf numFmtId="0" fontId="22" fillId="0" borderId="9" xfId="6" applyFont="1" applyBorder="1" applyAlignment="1">
      <alignment horizontal="left" indent="1"/>
    </xf>
    <xf numFmtId="0" fontId="20" fillId="7" borderId="19" xfId="5" applyFont="1" applyFill="1" applyBorder="1" applyAlignment="1">
      <alignment horizontal="left" vertical="center" indent="1"/>
    </xf>
    <xf numFmtId="0" fontId="20" fillId="7" borderId="40" xfId="5" applyFont="1" applyFill="1" applyBorder="1" applyAlignment="1">
      <alignment horizontal="left" vertical="center" indent="1"/>
    </xf>
    <xf numFmtId="0" fontId="20" fillId="7" borderId="20" xfId="5" applyFont="1" applyFill="1" applyBorder="1" applyAlignment="1">
      <alignment horizontal="left" vertical="center" indent="1"/>
    </xf>
    <xf numFmtId="3" fontId="22" fillId="3" borderId="44" xfId="6" applyNumberFormat="1" applyFont="1" applyFill="1" applyBorder="1" applyAlignment="1">
      <alignment horizontal="center"/>
    </xf>
    <xf numFmtId="3" fontId="22" fillId="3" borderId="7" xfId="6" applyNumberFormat="1" applyFont="1" applyFill="1" applyBorder="1" applyAlignment="1">
      <alignment horizontal="center"/>
    </xf>
    <xf numFmtId="3" fontId="22" fillId="4" borderId="44" xfId="6" applyNumberFormat="1" applyFont="1" applyFill="1" applyBorder="1" applyAlignment="1">
      <alignment horizontal="center"/>
    </xf>
    <xf numFmtId="3" fontId="22" fillId="4" borderId="7" xfId="6" applyNumberFormat="1" applyFont="1" applyFill="1" applyBorder="1" applyAlignment="1">
      <alignment horizontal="center"/>
    </xf>
    <xf numFmtId="4" fontId="22" fillId="4" borderId="44" xfId="6" applyNumberFormat="1" applyFont="1" applyFill="1" applyBorder="1" applyAlignment="1">
      <alignment horizontal="center"/>
    </xf>
    <xf numFmtId="4" fontId="22" fillId="4" borderId="7" xfId="6" applyNumberFormat="1" applyFont="1" applyFill="1" applyBorder="1" applyAlignment="1">
      <alignment horizontal="center"/>
    </xf>
    <xf numFmtId="3" fontId="22" fillId="3" borderId="42" xfId="6" applyNumberFormat="1" applyFont="1" applyFill="1" applyBorder="1" applyAlignment="1">
      <alignment horizontal="center"/>
    </xf>
    <xf numFmtId="3" fontId="22" fillId="3" borderId="43" xfId="6" applyNumberFormat="1" applyFont="1" applyFill="1" applyBorder="1" applyAlignment="1">
      <alignment horizontal="center"/>
    </xf>
    <xf numFmtId="3" fontId="22" fillId="4" borderId="42" xfId="6" applyNumberFormat="1" applyFont="1" applyFill="1" applyBorder="1" applyAlignment="1">
      <alignment horizontal="center"/>
    </xf>
    <xf numFmtId="3" fontId="22" fillId="4" borderId="43" xfId="6" applyNumberFormat="1" applyFont="1" applyFill="1" applyBorder="1" applyAlignment="1">
      <alignment horizontal="center"/>
    </xf>
    <xf numFmtId="4" fontId="22" fillId="4" borderId="42" xfId="6" applyNumberFormat="1" applyFont="1" applyFill="1" applyBorder="1" applyAlignment="1">
      <alignment horizontal="center"/>
    </xf>
    <xf numFmtId="4" fontId="22" fillId="4" borderId="43" xfId="6" applyNumberFormat="1" applyFont="1" applyFill="1" applyBorder="1" applyAlignment="1">
      <alignment horizontal="center"/>
    </xf>
    <xf numFmtId="3" fontId="21" fillId="0" borderId="16" xfId="6" applyNumberFormat="1" applyFont="1" applyFill="1" applyBorder="1" applyAlignment="1">
      <alignment horizontal="center"/>
    </xf>
    <xf numFmtId="0" fontId="20" fillId="2" borderId="38" xfId="5" applyFont="1" applyFill="1" applyBorder="1" applyAlignment="1">
      <alignment horizontal="left" indent="2"/>
    </xf>
    <xf numFmtId="0" fontId="20" fillId="2" borderId="39" xfId="5" applyFont="1" applyFill="1" applyBorder="1" applyAlignment="1">
      <alignment horizontal="left" indent="2"/>
    </xf>
    <xf numFmtId="0" fontId="20" fillId="2" borderId="9" xfId="5" applyFont="1" applyFill="1" applyBorder="1" applyAlignment="1">
      <alignment horizontal="left" indent="2"/>
    </xf>
    <xf numFmtId="3" fontId="20" fillId="2" borderId="38" xfId="6" applyNumberFormat="1" applyFont="1" applyFill="1" applyBorder="1" applyAlignment="1">
      <alignment horizontal="center"/>
    </xf>
    <xf numFmtId="3" fontId="20" fillId="2" borderId="9" xfId="6" applyNumberFormat="1" applyFont="1" applyFill="1" applyBorder="1" applyAlignment="1">
      <alignment horizontal="center"/>
    </xf>
    <xf numFmtId="4" fontId="20" fillId="2" borderId="38" xfId="6" applyNumberFormat="1" applyFont="1" applyFill="1" applyBorder="1" applyAlignment="1">
      <alignment horizontal="center"/>
    </xf>
    <xf numFmtId="4" fontId="20" fillId="2" borderId="9" xfId="6" applyNumberFormat="1" applyFont="1" applyFill="1" applyBorder="1" applyAlignment="1">
      <alignment horizontal="center"/>
    </xf>
    <xf numFmtId="0" fontId="22" fillId="0" borderId="41" xfId="5" applyFont="1" applyFill="1" applyBorder="1" applyAlignment="1">
      <alignment horizontal="left"/>
    </xf>
    <xf numFmtId="0" fontId="22" fillId="0" borderId="45" xfId="5" applyFont="1" applyFill="1" applyBorder="1" applyAlignment="1">
      <alignment horizontal="left"/>
    </xf>
    <xf numFmtId="0" fontId="22" fillId="0" borderId="4" xfId="5" applyFont="1" applyFill="1" applyBorder="1" applyAlignment="1">
      <alignment horizontal="left"/>
    </xf>
    <xf numFmtId="0" fontId="22" fillId="0" borderId="44" xfId="5" applyFont="1" applyFill="1" applyBorder="1" applyAlignment="1">
      <alignment horizontal="left"/>
    </xf>
    <xf numFmtId="0" fontId="22" fillId="0" borderId="46" xfId="5" applyFont="1" applyFill="1" applyBorder="1" applyAlignment="1">
      <alignment horizontal="left"/>
    </xf>
    <xf numFmtId="0" fontId="22" fillId="0" borderId="7" xfId="5" applyFont="1" applyFill="1" applyBorder="1" applyAlignment="1">
      <alignment horizontal="left"/>
    </xf>
    <xf numFmtId="0" fontId="20" fillId="0" borderId="0" xfId="5" applyFont="1" applyFill="1" applyBorder="1" applyAlignment="1">
      <alignment horizontal="left"/>
    </xf>
    <xf numFmtId="0" fontId="20" fillId="2" borderId="38" xfId="5" applyFont="1" applyFill="1" applyBorder="1" applyAlignment="1"/>
    <xf numFmtId="0" fontId="20" fillId="2" borderId="39" xfId="5" applyFont="1" applyFill="1" applyBorder="1" applyAlignment="1"/>
    <xf numFmtId="0" fontId="20" fillId="2" borderId="9" xfId="5" applyFont="1" applyFill="1" applyBorder="1" applyAlignment="1"/>
    <xf numFmtId="0" fontId="5" fillId="0" borderId="0" xfId="6" applyFont="1" applyFill="1" applyBorder="1" applyAlignment="1">
      <alignment horizontal="center" vertical="center"/>
    </xf>
    <xf numFmtId="4" fontId="1" fillId="0" borderId="0" xfId="8" applyNumberFormat="1" applyFont="1" applyAlignment="1">
      <alignment horizontal="right" vertical="center"/>
    </xf>
    <xf numFmtId="49" fontId="27" fillId="10" borderId="18" xfId="8" applyNumberFormat="1" applyFont="1" applyFill="1" applyBorder="1" applyAlignment="1">
      <alignment horizontal="center" vertical="center" wrapText="1"/>
    </xf>
    <xf numFmtId="49" fontId="27" fillId="10" borderId="21" xfId="8" applyNumberFormat="1" applyFont="1" applyFill="1" applyBorder="1" applyAlignment="1">
      <alignment horizontal="center" vertical="center" wrapText="1"/>
    </xf>
    <xf numFmtId="4" fontId="27" fillId="10" borderId="15" xfId="8" applyNumberFormat="1" applyFont="1" applyFill="1" applyBorder="1" applyAlignment="1">
      <alignment horizontal="center" vertical="center"/>
    </xf>
    <xf numFmtId="4" fontId="28" fillId="10" borderId="16" xfId="0" applyNumberFormat="1" applyFont="1" applyFill="1" applyBorder="1" applyAlignment="1">
      <alignment horizontal="center" vertical="center"/>
    </xf>
    <xf numFmtId="4" fontId="28" fillId="10" borderId="17" xfId="0" applyNumberFormat="1" applyFont="1" applyFill="1" applyBorder="1" applyAlignment="1">
      <alignment horizontal="center" vertical="center"/>
    </xf>
    <xf numFmtId="49" fontId="26" fillId="0" borderId="0" xfId="8" applyNumberFormat="1" applyFont="1" applyAlignment="1">
      <alignment horizontal="center" vertical="center"/>
    </xf>
    <xf numFmtId="4" fontId="1" fillId="0" borderId="0" xfId="8" applyNumberFormat="1" applyFont="1" applyAlignment="1">
      <alignment horizontal="right" vertical="center" wrapText="1"/>
    </xf>
    <xf numFmtId="4" fontId="4" fillId="0" borderId="0" xfId="8" applyNumberFormat="1" applyFont="1" applyBorder="1" applyAlignment="1">
      <alignment horizontal="right" vertical="center" wrapText="1"/>
    </xf>
  </cellXfs>
  <cellStyles count="9">
    <cellStyle name="Normálna" xfId="0" builtinId="0"/>
    <cellStyle name="Normálna 12" xfId="6" xr:uid="{11B84FC9-29B0-4D1F-8CE5-6D7012C64A38}"/>
    <cellStyle name="Normálna 2" xfId="1" xr:uid="{6C37AD44-3993-4427-B579-6D57399FFCC8}"/>
    <cellStyle name="Normálna 2 2" xfId="3" xr:uid="{44115FA7-1782-4C2C-9772-DC744F3C7432}"/>
    <cellStyle name="Normálna 3 2 2" xfId="4" xr:uid="{10D2E1AA-9318-4168-B112-AAAB34BFDFCD}"/>
    <cellStyle name="normální_Plnenie rozpočtu k 31 12 2008-ez" xfId="8" xr:uid="{4A62D42B-0826-468F-998B-F8F1E829F676}"/>
    <cellStyle name="normální_Rozdel prvkov" xfId="5" xr:uid="{84BAB883-BB62-4107-B74D-B5E59B0EAF49}"/>
    <cellStyle name="normální_Rozdel prvkov 2 2" xfId="7" xr:uid="{D6FDB42D-D054-4768-9B7A-E04D4F7E3ACE}"/>
    <cellStyle name="normální_úprava sept2010MZz 2 2" xfId="2" xr:uid="{DAF17AD2-E62B-40C1-8A6A-BB4E88AEEE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aea95feeed548c3/Dokumenty/MS/2018_vypocet_normativov_1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anska/Desktop/Rozpo&#269;et/Rozpo&#269;et%202021/2021%20Rozpocet%20V1%20-%20prv&#225;%20verzia%20-%20zo%20str&#225;nky%20Ministerst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KT_vstupne_udaje"/>
      <sheetName val="Vstupne_udaje"/>
      <sheetName val="Normativy_vyp"/>
      <sheetName val="Normativy"/>
      <sheetName val="porovnanie_rozp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Rozpocet2017"/>
      <sheetName val="DK"/>
      <sheetName val="Teplotne_pasma"/>
      <sheetName val="zam1718"/>
    </sheetNames>
    <sheetDataSet>
      <sheetData sheetId="0">
        <row r="2">
          <cell r="G2">
            <v>0.08</v>
          </cell>
        </row>
      </sheetData>
      <sheetData sheetId="1"/>
      <sheetData sheetId="2"/>
      <sheetData sheetId="3"/>
      <sheetData sheetId="4"/>
      <sheetData sheetId="5">
        <row r="5">
          <cell r="A5" t="str">
            <v>ZS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Normativy"/>
      <sheetName val="data_20-21"/>
      <sheetName val="data_21-22"/>
      <sheetName val="data_spolu"/>
      <sheetName val="DATA_poradne"/>
      <sheetName val="DATA_Stravovanie"/>
      <sheetName val="Rozpocet2021"/>
      <sheetName val="KKŠ 20_21"/>
    </sheetNames>
    <sheetDataSet>
      <sheetData sheetId="0">
        <row r="3">
          <cell r="H3">
            <v>0.08</v>
          </cell>
        </row>
        <row r="4">
          <cell r="H4">
            <v>0.13</v>
          </cell>
        </row>
        <row r="5">
          <cell r="H5">
            <v>0.04</v>
          </cell>
        </row>
        <row r="6">
          <cell r="H6">
            <v>0.25</v>
          </cell>
        </row>
        <row r="7">
          <cell r="H7">
            <v>1</v>
          </cell>
        </row>
        <row r="8">
          <cell r="H8">
            <v>-0.6</v>
          </cell>
        </row>
        <row r="9">
          <cell r="H9">
            <v>-0.9</v>
          </cell>
        </row>
        <row r="10">
          <cell r="H10">
            <v>-0.4</v>
          </cell>
        </row>
        <row r="11">
          <cell r="H11">
            <v>-0.2</v>
          </cell>
        </row>
        <row r="12">
          <cell r="H12">
            <v>-0.15</v>
          </cell>
        </row>
        <row r="13">
          <cell r="H13">
            <v>-0.35</v>
          </cell>
        </row>
        <row r="14">
          <cell r="H14">
            <v>0.1</v>
          </cell>
        </row>
        <row r="15">
          <cell r="H15">
            <v>1</v>
          </cell>
        </row>
        <row r="17">
          <cell r="H17">
            <v>0</v>
          </cell>
        </row>
        <row r="18">
          <cell r="H18">
            <v>0.28599999999999998</v>
          </cell>
        </row>
        <row r="19">
          <cell r="H19">
            <v>0.5</v>
          </cell>
        </row>
        <row r="20">
          <cell r="H20">
            <v>0.8</v>
          </cell>
        </row>
        <row r="21">
          <cell r="H21">
            <v>1.25</v>
          </cell>
        </row>
        <row r="22">
          <cell r="H22">
            <v>3.5</v>
          </cell>
        </row>
        <row r="23">
          <cell r="H23">
            <v>0.5</v>
          </cell>
        </row>
        <row r="24">
          <cell r="H24">
            <v>0.93</v>
          </cell>
        </row>
        <row r="25">
          <cell r="H25">
            <v>1.2649999999999999</v>
          </cell>
        </row>
        <row r="26">
          <cell r="H26">
            <v>1.71</v>
          </cell>
        </row>
        <row r="27">
          <cell r="H27">
            <v>2.39</v>
          </cell>
        </row>
        <row r="28">
          <cell r="H28">
            <v>5.79</v>
          </cell>
        </row>
        <row r="29">
          <cell r="H29">
            <v>0.7</v>
          </cell>
        </row>
        <row r="30">
          <cell r="H30">
            <v>1.2</v>
          </cell>
        </row>
        <row r="31">
          <cell r="H31">
            <v>1.7</v>
          </cell>
        </row>
        <row r="32">
          <cell r="H32">
            <v>0.08</v>
          </cell>
        </row>
        <row r="33">
          <cell r="H33">
            <v>4</v>
          </cell>
        </row>
        <row r="34">
          <cell r="H34">
            <v>-0.1</v>
          </cell>
        </row>
        <row r="35">
          <cell r="H35">
            <v>2</v>
          </cell>
        </row>
        <row r="36">
          <cell r="H36">
            <v>-0.7</v>
          </cell>
        </row>
        <row r="37">
          <cell r="H37">
            <v>1</v>
          </cell>
        </row>
        <row r="38">
          <cell r="H38">
            <v>-0.34</v>
          </cell>
        </row>
        <row r="39">
          <cell r="H39">
            <v>-0.48</v>
          </cell>
        </row>
        <row r="40">
          <cell r="H40">
            <v>-0.12</v>
          </cell>
        </row>
        <row r="41">
          <cell r="H41">
            <v>-0.6</v>
          </cell>
        </row>
        <row r="42">
          <cell r="H42">
            <v>-0.05</v>
          </cell>
        </row>
        <row r="43">
          <cell r="H43">
            <v>0</v>
          </cell>
        </row>
        <row r="44">
          <cell r="H44">
            <v>-0.1</v>
          </cell>
        </row>
        <row r="45">
          <cell r="H45">
            <v>0.1</v>
          </cell>
        </row>
        <row r="47">
          <cell r="H47">
            <v>0</v>
          </cell>
        </row>
        <row r="48">
          <cell r="H48">
            <v>0.60399999999999998</v>
          </cell>
        </row>
        <row r="49">
          <cell r="H49">
            <v>-0.217</v>
          </cell>
        </row>
        <row r="50">
          <cell r="H50">
            <v>0</v>
          </cell>
        </row>
        <row r="51">
          <cell r="H51">
            <v>0.57499999999999996</v>
          </cell>
        </row>
        <row r="52">
          <cell r="H52">
            <v>-0.20799999999999999</v>
          </cell>
        </row>
      </sheetData>
      <sheetData sheetId="1"/>
      <sheetData sheetId="2">
        <row r="2">
          <cell r="A2" t="str">
            <v>SZSKBA31746616</v>
          </cell>
        </row>
      </sheetData>
      <sheetData sheetId="3">
        <row r="2">
          <cell r="A2" t="str">
            <v>SZSKBA31746616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85640-8AF7-4C00-9424-2ED78A14CD9A}">
  <dimension ref="B1:G73"/>
  <sheetViews>
    <sheetView tabSelected="1" topLeftCell="A19" zoomScale="90" zoomScaleNormal="90" zoomScaleSheetLayoutView="70" workbookViewId="0">
      <selection activeCell="M10" sqref="M10"/>
    </sheetView>
  </sheetViews>
  <sheetFormatPr defaultColWidth="9.140625" defaultRowHeight="12.75" x14ac:dyDescent="0.2"/>
  <cols>
    <col min="1" max="1" width="1.85546875" style="1" customWidth="1"/>
    <col min="2" max="2" width="62.7109375" style="1" customWidth="1"/>
    <col min="3" max="5" width="17.85546875" style="1" customWidth="1"/>
    <col min="6" max="6" width="11.7109375" style="1" customWidth="1"/>
    <col min="7" max="7" width="9.85546875" style="37" bestFit="1" customWidth="1"/>
    <col min="8" max="16384" width="9.140625" style="1"/>
  </cols>
  <sheetData>
    <row r="1" spans="2:6" ht="24" customHeight="1" x14ac:dyDescent="0.2">
      <c r="B1" s="541" t="s">
        <v>63</v>
      </c>
      <c r="C1" s="541"/>
      <c r="D1" s="541"/>
      <c r="E1" s="541"/>
      <c r="F1" s="45"/>
    </row>
    <row r="2" spans="2:6" ht="22.15" customHeight="1" x14ac:dyDescent="0.2">
      <c r="B2" s="542" t="s">
        <v>64</v>
      </c>
      <c r="C2" s="542"/>
      <c r="D2" s="542"/>
      <c r="E2" s="542"/>
      <c r="F2" s="46"/>
    </row>
    <row r="3" spans="2:6" ht="30" customHeight="1" thickBot="1" x14ac:dyDescent="0.25">
      <c r="B3" s="540"/>
      <c r="C3" s="540"/>
      <c r="D3" s="2"/>
      <c r="E3" s="2"/>
      <c r="F3" s="2" t="s">
        <v>0</v>
      </c>
    </row>
    <row r="4" spans="2:6" ht="42" customHeight="1" thickBot="1" x14ac:dyDescent="0.25">
      <c r="B4" s="3" t="s">
        <v>1</v>
      </c>
      <c r="C4" s="4" t="s">
        <v>2</v>
      </c>
      <c r="D4" s="4" t="s">
        <v>65</v>
      </c>
      <c r="E4" s="4" t="s">
        <v>60</v>
      </c>
      <c r="F4" s="4" t="s">
        <v>61</v>
      </c>
    </row>
    <row r="5" spans="2:6" ht="24" customHeight="1" x14ac:dyDescent="0.2">
      <c r="B5" s="5" t="s">
        <v>3</v>
      </c>
      <c r="C5" s="6">
        <f t="shared" ref="C5:E5" si="0">SUM(C6+C17+C29+C50)</f>
        <v>66949274</v>
      </c>
      <c r="D5" s="6">
        <f t="shared" si="0"/>
        <v>71412464</v>
      </c>
      <c r="E5" s="6">
        <f t="shared" si="0"/>
        <v>38094300</v>
      </c>
      <c r="F5" s="62">
        <f>E5/D5*100</f>
        <v>53.344049296492557</v>
      </c>
    </row>
    <row r="6" spans="2:6" ht="19.899999999999999" customHeight="1" x14ac:dyDescent="0.2">
      <c r="B6" s="7" t="s">
        <v>4</v>
      </c>
      <c r="C6" s="8">
        <f t="shared" ref="C6:E6" si="1">SUM(C8+C9+C11+C12+C13+C14+C15+C16)</f>
        <v>40835253</v>
      </c>
      <c r="D6" s="8">
        <f t="shared" si="1"/>
        <v>41365253</v>
      </c>
      <c r="E6" s="59">
        <f t="shared" si="1"/>
        <v>17606217</v>
      </c>
      <c r="F6" s="63">
        <f t="shared" ref="F6:F33" si="2">E6/D6*100</f>
        <v>42.562817154774805</v>
      </c>
    </row>
    <row r="7" spans="2:6" ht="16.149999999999999" customHeight="1" x14ac:dyDescent="0.2">
      <c r="B7" s="9" t="s">
        <v>5</v>
      </c>
      <c r="C7" s="10"/>
      <c r="D7" s="10"/>
      <c r="E7" s="51"/>
      <c r="F7" s="64"/>
    </row>
    <row r="8" spans="2:6" ht="16.149999999999999" customHeight="1" x14ac:dyDescent="0.2">
      <c r="B8" s="9" t="s">
        <v>6</v>
      </c>
      <c r="C8" s="10">
        <v>160000</v>
      </c>
      <c r="D8" s="10">
        <v>160000</v>
      </c>
      <c r="E8" s="51">
        <v>150766</v>
      </c>
      <c r="F8" s="64">
        <f t="shared" si="2"/>
        <v>94.228749999999991</v>
      </c>
    </row>
    <row r="9" spans="2:6" ht="16.149999999999999" customHeight="1" x14ac:dyDescent="0.2">
      <c r="B9" s="9" t="s">
        <v>7</v>
      </c>
      <c r="C9" s="10">
        <v>370000</v>
      </c>
      <c r="D9" s="10">
        <v>370000</v>
      </c>
      <c r="E9" s="51">
        <v>270386</v>
      </c>
      <c r="F9" s="64">
        <f t="shared" si="2"/>
        <v>73.077297297297292</v>
      </c>
    </row>
    <row r="10" spans="2:6" ht="16.149999999999999" customHeight="1" x14ac:dyDescent="0.2">
      <c r="B10" s="9" t="s">
        <v>8</v>
      </c>
      <c r="C10" s="10">
        <v>350000</v>
      </c>
      <c r="D10" s="10">
        <v>350000</v>
      </c>
      <c r="E10" s="51">
        <v>226661</v>
      </c>
      <c r="F10" s="64">
        <f t="shared" si="2"/>
        <v>64.760285714285715</v>
      </c>
    </row>
    <row r="11" spans="2:6" ht="16.149999999999999" customHeight="1" x14ac:dyDescent="0.2">
      <c r="B11" s="9" t="s">
        <v>9</v>
      </c>
      <c r="C11" s="10">
        <v>1500</v>
      </c>
      <c r="D11" s="10">
        <v>1500</v>
      </c>
      <c r="E11" s="51">
        <v>3600</v>
      </c>
      <c r="F11" s="64">
        <f t="shared" si="2"/>
        <v>240</v>
      </c>
    </row>
    <row r="12" spans="2:6" ht="16.149999999999999" customHeight="1" x14ac:dyDescent="0.2">
      <c r="B12" s="9" t="s">
        <v>10</v>
      </c>
      <c r="C12" s="10">
        <v>9000</v>
      </c>
      <c r="D12" s="10">
        <v>9000</v>
      </c>
      <c r="E12" s="51">
        <v>8062</v>
      </c>
      <c r="F12" s="64">
        <f t="shared" si="2"/>
        <v>89.577777777777783</v>
      </c>
    </row>
    <row r="13" spans="2:6" ht="16.149999999999999" customHeight="1" x14ac:dyDescent="0.2">
      <c r="B13" s="9" t="s">
        <v>11</v>
      </c>
      <c r="C13" s="10">
        <v>29223000</v>
      </c>
      <c r="D13" s="10">
        <v>29753000</v>
      </c>
      <c r="E13" s="51">
        <v>12612379</v>
      </c>
      <c r="F13" s="64">
        <f t="shared" si="2"/>
        <v>42.390276610761937</v>
      </c>
    </row>
    <row r="14" spans="2:6" ht="16.149999999999999" customHeight="1" x14ac:dyDescent="0.2">
      <c r="B14" s="9" t="s">
        <v>12</v>
      </c>
      <c r="C14" s="10">
        <v>10387000</v>
      </c>
      <c r="D14" s="10">
        <v>10387000</v>
      </c>
      <c r="E14" s="51">
        <v>3721213</v>
      </c>
      <c r="F14" s="64">
        <f t="shared" si="2"/>
        <v>35.825676326176954</v>
      </c>
    </row>
    <row r="15" spans="2:6" ht="16.149999999999999" customHeight="1" x14ac:dyDescent="0.2">
      <c r="B15" s="9" t="s">
        <v>13</v>
      </c>
      <c r="C15" s="10">
        <v>684753</v>
      </c>
      <c r="D15" s="10">
        <v>684753</v>
      </c>
      <c r="E15" s="51">
        <v>422835</v>
      </c>
      <c r="F15" s="64">
        <f t="shared" si="2"/>
        <v>61.750003285856359</v>
      </c>
    </row>
    <row r="16" spans="2:6" ht="16.149999999999999" customHeight="1" x14ac:dyDescent="0.2">
      <c r="B16" s="11" t="s">
        <v>14</v>
      </c>
      <c r="C16" s="10">
        <v>0</v>
      </c>
      <c r="D16" s="10">
        <v>0</v>
      </c>
      <c r="E16" s="51">
        <v>416976</v>
      </c>
      <c r="F16" s="64"/>
    </row>
    <row r="17" spans="2:7" ht="19.899999999999999" customHeight="1" x14ac:dyDescent="0.2">
      <c r="B17" s="7" t="s">
        <v>15</v>
      </c>
      <c r="C17" s="8">
        <f t="shared" ref="C17:E17" si="3">SUM(C28+C26+C25+C24+C23+C22+C21+C20+C19+C18)</f>
        <v>7521096</v>
      </c>
      <c r="D17" s="8">
        <f t="shared" si="3"/>
        <v>7947578</v>
      </c>
      <c r="E17" s="59">
        <f t="shared" si="3"/>
        <v>4104229</v>
      </c>
      <c r="F17" s="63">
        <f t="shared" si="2"/>
        <v>51.641254731944755</v>
      </c>
    </row>
    <row r="18" spans="2:7" ht="16.5" customHeight="1" x14ac:dyDescent="0.2">
      <c r="B18" s="12" t="s">
        <v>16</v>
      </c>
      <c r="C18" s="10">
        <v>180000</v>
      </c>
      <c r="D18" s="10">
        <v>180000</v>
      </c>
      <c r="E18" s="51">
        <v>158129</v>
      </c>
      <c r="F18" s="64">
        <f t="shared" si="2"/>
        <v>87.849444444444444</v>
      </c>
    </row>
    <row r="19" spans="2:7" ht="16.5" customHeight="1" x14ac:dyDescent="0.2">
      <c r="B19" s="12" t="s">
        <v>17</v>
      </c>
      <c r="C19" s="10">
        <v>1600000</v>
      </c>
      <c r="D19" s="10">
        <v>1600000</v>
      </c>
      <c r="E19" s="51">
        <v>484046</v>
      </c>
      <c r="F19" s="64">
        <f t="shared" si="2"/>
        <v>30.252875000000003</v>
      </c>
    </row>
    <row r="20" spans="2:7" ht="16.5" customHeight="1" x14ac:dyDescent="0.2">
      <c r="B20" s="12" t="s">
        <v>18</v>
      </c>
      <c r="C20" s="10">
        <v>241000</v>
      </c>
      <c r="D20" s="10">
        <v>241000</v>
      </c>
      <c r="E20" s="51">
        <v>140007</v>
      </c>
      <c r="F20" s="64">
        <f t="shared" si="2"/>
        <v>58.0941908713693</v>
      </c>
    </row>
    <row r="21" spans="2:7" ht="16.5" customHeight="1" x14ac:dyDescent="0.2">
      <c r="B21" s="12" t="s">
        <v>19</v>
      </c>
      <c r="C21" s="10">
        <v>315000</v>
      </c>
      <c r="D21" s="10">
        <v>315000</v>
      </c>
      <c r="E21" s="51">
        <v>185809</v>
      </c>
      <c r="F21" s="64">
        <f t="shared" si="2"/>
        <v>58.986984126984133</v>
      </c>
    </row>
    <row r="22" spans="2:7" ht="16.5" customHeight="1" x14ac:dyDescent="0.2">
      <c r="B22" s="12" t="s">
        <v>20</v>
      </c>
      <c r="C22" s="10">
        <v>836340</v>
      </c>
      <c r="D22" s="10">
        <v>936340</v>
      </c>
      <c r="E22" s="51">
        <v>464067</v>
      </c>
      <c r="F22" s="64">
        <f t="shared" si="2"/>
        <v>49.561804472734259</v>
      </c>
    </row>
    <row r="23" spans="2:7" ht="16.5" customHeight="1" x14ac:dyDescent="0.2">
      <c r="B23" s="12" t="s">
        <v>62</v>
      </c>
      <c r="C23" s="10">
        <v>122470</v>
      </c>
      <c r="D23" s="10">
        <v>122470</v>
      </c>
      <c r="E23" s="51">
        <v>70113</v>
      </c>
      <c r="F23" s="64">
        <f t="shared" si="2"/>
        <v>57.24912223401649</v>
      </c>
    </row>
    <row r="24" spans="2:7" ht="16.5" customHeight="1" x14ac:dyDescent="0.2">
      <c r="B24" s="12" t="s">
        <v>21</v>
      </c>
      <c r="C24" s="10">
        <v>100000</v>
      </c>
      <c r="D24" s="10">
        <v>150000</v>
      </c>
      <c r="E24" s="51">
        <v>273935</v>
      </c>
      <c r="F24" s="64">
        <f t="shared" si="2"/>
        <v>182.62333333333333</v>
      </c>
    </row>
    <row r="25" spans="2:7" ht="16.5" customHeight="1" x14ac:dyDescent="0.2">
      <c r="B25" s="12" t="s">
        <v>22</v>
      </c>
      <c r="C25" s="10">
        <v>523206</v>
      </c>
      <c r="D25" s="10">
        <v>568706</v>
      </c>
      <c r="E25" s="51">
        <v>563324</v>
      </c>
      <c r="F25" s="64">
        <f t="shared" si="2"/>
        <v>99.053641072891793</v>
      </c>
    </row>
    <row r="26" spans="2:7" ht="16.5" customHeight="1" x14ac:dyDescent="0.2">
      <c r="B26" s="12" t="s">
        <v>23</v>
      </c>
      <c r="C26" s="10">
        <v>3434820</v>
      </c>
      <c r="D26" s="10">
        <v>3463802</v>
      </c>
      <c r="E26" s="51">
        <v>1488279</v>
      </c>
      <c r="F26" s="64">
        <f t="shared" si="2"/>
        <v>42.96663030970015</v>
      </c>
    </row>
    <row r="27" spans="2:7" ht="16.5" customHeight="1" x14ac:dyDescent="0.2">
      <c r="B27" s="9" t="s">
        <v>24</v>
      </c>
      <c r="C27" s="10">
        <v>1370952</v>
      </c>
      <c r="D27" s="10">
        <v>1384732</v>
      </c>
      <c r="E27" s="51">
        <v>413256</v>
      </c>
      <c r="F27" s="64">
        <f t="shared" si="2"/>
        <v>29.843753159456128</v>
      </c>
    </row>
    <row r="28" spans="2:7" ht="16.5" customHeight="1" x14ac:dyDescent="0.2">
      <c r="B28" s="9" t="s">
        <v>25</v>
      </c>
      <c r="C28" s="10">
        <v>168260</v>
      </c>
      <c r="D28" s="10">
        <v>370260</v>
      </c>
      <c r="E28" s="51">
        <v>276520</v>
      </c>
      <c r="F28" s="64">
        <f t="shared" si="2"/>
        <v>74.682655431318537</v>
      </c>
    </row>
    <row r="29" spans="2:7" ht="19.899999999999999" customHeight="1" x14ac:dyDescent="0.2">
      <c r="B29" s="13" t="s">
        <v>26</v>
      </c>
      <c r="C29" s="14">
        <f t="shared" ref="C29:E29" si="4">SUM(C30+C47+C48+C49)</f>
        <v>16096263</v>
      </c>
      <c r="D29" s="14">
        <f t="shared" si="4"/>
        <v>19619605</v>
      </c>
      <c r="E29" s="60">
        <f t="shared" si="4"/>
        <v>14645812</v>
      </c>
      <c r="F29" s="65">
        <f t="shared" si="2"/>
        <v>74.648862706461216</v>
      </c>
    </row>
    <row r="30" spans="2:7" ht="16.5" customHeight="1" x14ac:dyDescent="0.2">
      <c r="B30" s="12" t="s">
        <v>27</v>
      </c>
      <c r="C30" s="10">
        <f t="shared" ref="C30:E30" si="5">SUM(C31+C32+C33+C39+C40+C41+C42+C43+C44+C45+C46)</f>
        <v>16096263</v>
      </c>
      <c r="D30" s="10">
        <f t="shared" si="5"/>
        <v>19160977</v>
      </c>
      <c r="E30" s="51">
        <f t="shared" si="5"/>
        <v>12180656</v>
      </c>
      <c r="F30" s="64">
        <f t="shared" si="2"/>
        <v>63.570119623858425</v>
      </c>
    </row>
    <row r="31" spans="2:7" ht="16.5" customHeight="1" x14ac:dyDescent="0.2">
      <c r="B31" s="12" t="s">
        <v>28</v>
      </c>
      <c r="C31" s="10">
        <v>15170004</v>
      </c>
      <c r="D31" s="10">
        <v>18214386</v>
      </c>
      <c r="E31" s="51">
        <v>9858886</v>
      </c>
      <c r="F31" s="64">
        <f t="shared" si="2"/>
        <v>54.126919238452508</v>
      </c>
    </row>
    <row r="32" spans="2:7" s="15" customFormat="1" ht="16.5" customHeight="1" x14ac:dyDescent="0.2">
      <c r="B32" s="9" t="s">
        <v>29</v>
      </c>
      <c r="C32" s="10">
        <v>371764</v>
      </c>
      <c r="D32" s="10">
        <v>371764</v>
      </c>
      <c r="E32" s="51">
        <v>213238</v>
      </c>
      <c r="F32" s="64">
        <f t="shared" si="2"/>
        <v>57.35843169322473</v>
      </c>
      <c r="G32" s="38"/>
    </row>
    <row r="33" spans="2:7" s="15" customFormat="1" ht="16.5" customHeight="1" thickBot="1" x14ac:dyDescent="0.25">
      <c r="B33" s="16" t="s">
        <v>30</v>
      </c>
      <c r="C33" s="17">
        <v>60776</v>
      </c>
      <c r="D33" s="17">
        <v>60776</v>
      </c>
      <c r="E33" s="61">
        <v>37593</v>
      </c>
      <c r="F33" s="66">
        <f t="shared" si="2"/>
        <v>61.855008556008947</v>
      </c>
      <c r="G33" s="38"/>
    </row>
    <row r="34" spans="2:7" s="15" customFormat="1" ht="26.25" customHeight="1" x14ac:dyDescent="0.2">
      <c r="B34" s="18"/>
      <c r="C34" s="18"/>
      <c r="D34" s="18"/>
      <c r="E34" s="18"/>
      <c r="F34" s="18"/>
      <c r="G34" s="38"/>
    </row>
    <row r="35" spans="2:7" s="19" customFormat="1" ht="22.15" customHeight="1" x14ac:dyDescent="0.2">
      <c r="B35" s="541" t="s">
        <v>63</v>
      </c>
      <c r="C35" s="541"/>
      <c r="D35" s="541"/>
      <c r="E35" s="541"/>
      <c r="F35" s="45"/>
      <c r="G35" s="43"/>
    </row>
    <row r="36" spans="2:7" ht="22.15" customHeight="1" x14ac:dyDescent="0.2">
      <c r="B36" s="542" t="s">
        <v>64</v>
      </c>
      <c r="C36" s="542"/>
      <c r="D36" s="542"/>
      <c r="E36" s="542"/>
      <c r="F36" s="46"/>
    </row>
    <row r="37" spans="2:7" ht="30.75" customHeight="1" thickBot="1" x14ac:dyDescent="0.25">
      <c r="B37" s="20"/>
      <c r="C37" s="2"/>
      <c r="D37" s="2"/>
      <c r="E37" s="2"/>
      <c r="F37" s="2" t="s">
        <v>31</v>
      </c>
    </row>
    <row r="38" spans="2:7" ht="44.85" customHeight="1" thickBot="1" x14ac:dyDescent="0.25">
      <c r="B38" s="3" t="s">
        <v>1</v>
      </c>
      <c r="C38" s="4" t="s">
        <v>2</v>
      </c>
      <c r="D38" s="4" t="s">
        <v>65</v>
      </c>
      <c r="E38" s="4" t="s">
        <v>60</v>
      </c>
      <c r="F38" s="4" t="s">
        <v>61</v>
      </c>
    </row>
    <row r="39" spans="2:7" ht="18" customHeight="1" x14ac:dyDescent="0.2">
      <c r="B39" s="21" t="s">
        <v>32</v>
      </c>
      <c r="C39" s="22">
        <v>6000</v>
      </c>
      <c r="D39" s="22">
        <v>6000</v>
      </c>
      <c r="E39" s="47">
        <v>1756336</v>
      </c>
      <c r="F39" s="48">
        <f t="shared" ref="F39:F71" si="6">E39/D39*100</f>
        <v>29272.266666666666</v>
      </c>
    </row>
    <row r="40" spans="2:7" ht="18" customHeight="1" x14ac:dyDescent="0.2">
      <c r="B40" s="21" t="s">
        <v>33</v>
      </c>
      <c r="C40" s="23">
        <v>171959</v>
      </c>
      <c r="D40" s="23">
        <v>184653</v>
      </c>
      <c r="E40" s="49">
        <v>0</v>
      </c>
      <c r="F40" s="50">
        <f t="shared" si="6"/>
        <v>0</v>
      </c>
    </row>
    <row r="41" spans="2:7" ht="18" customHeight="1" x14ac:dyDescent="0.2">
      <c r="B41" s="9" t="s">
        <v>34</v>
      </c>
      <c r="C41" s="23">
        <v>4898</v>
      </c>
      <c r="D41" s="23">
        <v>4898</v>
      </c>
      <c r="E41" s="49">
        <v>4891</v>
      </c>
      <c r="F41" s="50">
        <f t="shared" si="6"/>
        <v>99.85708452429563</v>
      </c>
    </row>
    <row r="42" spans="2:7" ht="18" customHeight="1" x14ac:dyDescent="0.2">
      <c r="B42" s="9" t="s">
        <v>35</v>
      </c>
      <c r="C42" s="23">
        <v>176846</v>
      </c>
      <c r="D42" s="23">
        <v>180397</v>
      </c>
      <c r="E42" s="49">
        <v>180397</v>
      </c>
      <c r="F42" s="50">
        <f t="shared" si="6"/>
        <v>100</v>
      </c>
    </row>
    <row r="43" spans="2:7" ht="18" customHeight="1" x14ac:dyDescent="0.2">
      <c r="B43" s="9" t="s">
        <v>36</v>
      </c>
      <c r="C43" s="23">
        <v>26172</v>
      </c>
      <c r="D43" s="23">
        <v>26183</v>
      </c>
      <c r="E43" s="49">
        <v>26182</v>
      </c>
      <c r="F43" s="50">
        <f t="shared" si="6"/>
        <v>99.996180727953259</v>
      </c>
    </row>
    <row r="44" spans="2:7" ht="18" customHeight="1" x14ac:dyDescent="0.2">
      <c r="B44" s="9" t="s">
        <v>37</v>
      </c>
      <c r="C44" s="23">
        <v>61239</v>
      </c>
      <c r="D44" s="23">
        <v>65148</v>
      </c>
      <c r="E44" s="49">
        <v>65605</v>
      </c>
      <c r="F44" s="50">
        <f t="shared" si="6"/>
        <v>100.70147970774237</v>
      </c>
    </row>
    <row r="45" spans="2:7" ht="18" customHeight="1" x14ac:dyDescent="0.2">
      <c r="B45" s="9" t="s">
        <v>38</v>
      </c>
      <c r="C45" s="23">
        <v>37508</v>
      </c>
      <c r="D45" s="23">
        <v>37675</v>
      </c>
      <c r="E45" s="49">
        <v>37528</v>
      </c>
      <c r="F45" s="50">
        <f t="shared" si="6"/>
        <v>99.609820836098208</v>
      </c>
    </row>
    <row r="46" spans="2:7" ht="18" customHeight="1" x14ac:dyDescent="0.2">
      <c r="B46" s="9" t="s">
        <v>39</v>
      </c>
      <c r="C46" s="23">
        <v>9097</v>
      </c>
      <c r="D46" s="23">
        <v>9097</v>
      </c>
      <c r="E46" s="49">
        <v>0</v>
      </c>
      <c r="F46" s="50">
        <f t="shared" si="6"/>
        <v>0</v>
      </c>
    </row>
    <row r="47" spans="2:7" ht="18" customHeight="1" x14ac:dyDescent="0.2">
      <c r="B47" s="9" t="s">
        <v>40</v>
      </c>
      <c r="C47" s="10">
        <v>0</v>
      </c>
      <c r="D47" s="10">
        <v>1640</v>
      </c>
      <c r="E47" s="51">
        <v>1640</v>
      </c>
      <c r="F47" s="52">
        <f t="shared" si="6"/>
        <v>100</v>
      </c>
    </row>
    <row r="48" spans="2:7" ht="18" customHeight="1" x14ac:dyDescent="0.2">
      <c r="B48" s="24" t="s">
        <v>41</v>
      </c>
      <c r="C48" s="10">
        <v>0</v>
      </c>
      <c r="D48" s="10">
        <v>456988</v>
      </c>
      <c r="E48" s="51">
        <v>2463516</v>
      </c>
      <c r="F48" s="52">
        <f t="shared" si="6"/>
        <v>539.07673724474159</v>
      </c>
    </row>
    <row r="49" spans="2:7" ht="18" customHeight="1" x14ac:dyDescent="0.2">
      <c r="B49" s="24"/>
      <c r="C49" s="25"/>
      <c r="D49" s="25"/>
      <c r="E49" s="53"/>
      <c r="F49" s="54"/>
    </row>
    <row r="50" spans="2:7" s="27" customFormat="1" ht="18" customHeight="1" x14ac:dyDescent="0.2">
      <c r="B50" s="7" t="s">
        <v>42</v>
      </c>
      <c r="C50" s="26">
        <f t="shared" ref="C50:E50" si="7">C51+C53</f>
        <v>2496662</v>
      </c>
      <c r="D50" s="26">
        <f t="shared" si="7"/>
        <v>2480028</v>
      </c>
      <c r="E50" s="55">
        <f t="shared" si="7"/>
        <v>1738042</v>
      </c>
      <c r="F50" s="56">
        <f t="shared" si="6"/>
        <v>70.08154746639957</v>
      </c>
      <c r="G50" s="44"/>
    </row>
    <row r="51" spans="2:7" ht="18" customHeight="1" x14ac:dyDescent="0.2">
      <c r="B51" s="9" t="s">
        <v>43</v>
      </c>
      <c r="C51" s="10">
        <v>1786869</v>
      </c>
      <c r="D51" s="10">
        <v>1761967</v>
      </c>
      <c r="E51" s="51">
        <v>1164201</v>
      </c>
      <c r="F51" s="52">
        <f t="shared" si="6"/>
        <v>66.073938955723904</v>
      </c>
    </row>
    <row r="52" spans="2:7" ht="18" customHeight="1" x14ac:dyDescent="0.2">
      <c r="B52" s="9" t="s">
        <v>24</v>
      </c>
      <c r="C52" s="23">
        <v>257021</v>
      </c>
      <c r="D52" s="23">
        <v>243241</v>
      </c>
      <c r="E52" s="49">
        <v>148600</v>
      </c>
      <c r="F52" s="50">
        <f t="shared" si="6"/>
        <v>61.091674512109385</v>
      </c>
    </row>
    <row r="53" spans="2:7" ht="18" customHeight="1" x14ac:dyDescent="0.2">
      <c r="B53" s="9" t="s">
        <v>44</v>
      </c>
      <c r="C53" s="10">
        <v>709793</v>
      </c>
      <c r="D53" s="10">
        <v>718061</v>
      </c>
      <c r="E53" s="51">
        <v>573841</v>
      </c>
      <c r="F53" s="52">
        <f t="shared" si="6"/>
        <v>79.915355380671002</v>
      </c>
    </row>
    <row r="54" spans="2:7" ht="21" customHeight="1" x14ac:dyDescent="0.2">
      <c r="B54" s="28" t="s">
        <v>45</v>
      </c>
      <c r="C54" s="29">
        <f t="shared" ref="C54:E54" si="8">SUM(C56:C59)</f>
        <v>308200</v>
      </c>
      <c r="D54" s="29">
        <f t="shared" si="8"/>
        <v>495218</v>
      </c>
      <c r="E54" s="29">
        <f t="shared" si="8"/>
        <v>553512.61</v>
      </c>
      <c r="F54" s="41">
        <f t="shared" si="6"/>
        <v>111.7715046706703</v>
      </c>
    </row>
    <row r="55" spans="2:7" ht="15.6" customHeight="1" x14ac:dyDescent="0.2">
      <c r="B55" s="12" t="s">
        <v>46</v>
      </c>
      <c r="C55" s="10"/>
      <c r="D55" s="10"/>
      <c r="E55" s="51"/>
      <c r="F55" s="52"/>
    </row>
    <row r="56" spans="2:7" ht="15.6" customHeight="1" x14ac:dyDescent="0.2">
      <c r="B56" s="12" t="s">
        <v>47</v>
      </c>
      <c r="C56" s="10">
        <v>2200</v>
      </c>
      <c r="D56" s="10">
        <v>2200</v>
      </c>
      <c r="E56" s="51">
        <v>4000</v>
      </c>
      <c r="F56" s="52">
        <f t="shared" si="6"/>
        <v>181.81818181818181</v>
      </c>
    </row>
    <row r="57" spans="2:7" ht="15.6" customHeight="1" x14ac:dyDescent="0.2">
      <c r="B57" s="12"/>
      <c r="C57" s="10"/>
      <c r="D57" s="10"/>
      <c r="E57" s="51"/>
      <c r="F57" s="52"/>
    </row>
    <row r="58" spans="2:7" ht="15.6" customHeight="1" x14ac:dyDescent="0.2">
      <c r="B58" s="12" t="s">
        <v>48</v>
      </c>
      <c r="C58" s="10">
        <v>50000</v>
      </c>
      <c r="D58" s="10">
        <v>50000</v>
      </c>
      <c r="E58" s="51">
        <v>291434.02</v>
      </c>
      <c r="F58" s="52">
        <f t="shared" si="6"/>
        <v>582.86804000000006</v>
      </c>
    </row>
    <row r="59" spans="2:7" ht="15.6" customHeight="1" x14ac:dyDescent="0.2">
      <c r="B59" s="12" t="s">
        <v>49</v>
      </c>
      <c r="C59" s="10">
        <v>256000</v>
      </c>
      <c r="D59" s="10">
        <v>443018</v>
      </c>
      <c r="E59" s="51">
        <v>258078.59</v>
      </c>
      <c r="F59" s="52">
        <f t="shared" si="6"/>
        <v>58.254651052553164</v>
      </c>
    </row>
    <row r="60" spans="2:7" ht="15.6" customHeight="1" x14ac:dyDescent="0.2">
      <c r="B60" s="12"/>
      <c r="C60" s="10"/>
      <c r="D60" s="10"/>
      <c r="E60" s="51"/>
      <c r="F60" s="52"/>
    </row>
    <row r="61" spans="2:7" ht="21" customHeight="1" x14ac:dyDescent="0.2">
      <c r="B61" s="28" t="s">
        <v>50</v>
      </c>
      <c r="C61" s="29">
        <f>SUM(C63:C68)</f>
        <v>3370683</v>
      </c>
      <c r="D61" s="29">
        <f>SUM(D63:D68)</f>
        <v>4246717</v>
      </c>
      <c r="E61" s="29">
        <f>SUM(E65:E70)</f>
        <v>4196066</v>
      </c>
      <c r="F61" s="41">
        <f t="shared" si="6"/>
        <v>98.80729043164402</v>
      </c>
    </row>
    <row r="62" spans="2:7" ht="18" customHeight="1" x14ac:dyDescent="0.2">
      <c r="B62" s="12" t="s">
        <v>51</v>
      </c>
      <c r="C62" s="10"/>
      <c r="D62" s="10"/>
      <c r="E62" s="51"/>
      <c r="F62" s="52"/>
    </row>
    <row r="63" spans="2:7" ht="18" hidden="1" customHeight="1" x14ac:dyDescent="0.2">
      <c r="B63" s="12" t="s">
        <v>52</v>
      </c>
      <c r="C63" s="10">
        <v>0</v>
      </c>
      <c r="D63" s="10">
        <v>0</v>
      </c>
      <c r="E63" s="51">
        <v>0</v>
      </c>
      <c r="F63" s="52" t="e">
        <f t="shared" si="6"/>
        <v>#DIV/0!</v>
      </c>
    </row>
    <row r="64" spans="2:7" ht="18" hidden="1" customHeight="1" x14ac:dyDescent="0.2">
      <c r="B64" s="12" t="s">
        <v>53</v>
      </c>
      <c r="C64" s="10">
        <v>0</v>
      </c>
      <c r="D64" s="10">
        <v>0</v>
      </c>
      <c r="E64" s="51">
        <v>0</v>
      </c>
      <c r="F64" s="52" t="e">
        <f t="shared" si="6"/>
        <v>#DIV/0!</v>
      </c>
    </row>
    <row r="65" spans="2:7" ht="18" customHeight="1" x14ac:dyDescent="0.2">
      <c r="B65" s="12" t="s">
        <v>54</v>
      </c>
      <c r="C65" s="10">
        <f>1604338+966345</f>
        <v>2570683</v>
      </c>
      <c r="D65" s="10">
        <v>2691819</v>
      </c>
      <c r="E65" s="51">
        <v>1248074</v>
      </c>
      <c r="F65" s="52">
        <f t="shared" si="6"/>
        <v>46.365450277303196</v>
      </c>
    </row>
    <row r="66" spans="2:7" ht="18" customHeight="1" x14ac:dyDescent="0.2">
      <c r="B66" s="30" t="s">
        <v>55</v>
      </c>
      <c r="C66" s="10">
        <v>0</v>
      </c>
      <c r="D66" s="10">
        <v>754898</v>
      </c>
      <c r="E66" s="51">
        <v>2625164</v>
      </c>
      <c r="F66" s="52">
        <f t="shared" si="6"/>
        <v>347.75082196535163</v>
      </c>
    </row>
    <row r="67" spans="2:7" ht="18" customHeight="1" x14ac:dyDescent="0.2">
      <c r="B67" s="30" t="s">
        <v>56</v>
      </c>
      <c r="C67" s="31">
        <v>800000</v>
      </c>
      <c r="D67" s="31">
        <v>800000</v>
      </c>
      <c r="E67" s="57">
        <v>139562</v>
      </c>
      <c r="F67" s="58">
        <f t="shared" si="6"/>
        <v>17.445250000000001</v>
      </c>
    </row>
    <row r="68" spans="2:7" ht="16.149999999999999" hidden="1" customHeight="1" x14ac:dyDescent="0.2">
      <c r="B68" s="30" t="s">
        <v>57</v>
      </c>
      <c r="C68" s="31">
        <v>0</v>
      </c>
      <c r="D68" s="31">
        <v>0</v>
      </c>
      <c r="E68" s="57">
        <v>0</v>
      </c>
      <c r="F68" s="58" t="e">
        <f t="shared" si="6"/>
        <v>#DIV/0!</v>
      </c>
    </row>
    <row r="69" spans="2:7" ht="16.149999999999999" hidden="1" customHeight="1" x14ac:dyDescent="0.2">
      <c r="B69" s="32" t="s">
        <v>58</v>
      </c>
      <c r="C69" s="31">
        <v>0</v>
      </c>
      <c r="D69" s="31">
        <v>0</v>
      </c>
      <c r="E69" s="57">
        <v>0</v>
      </c>
      <c r="F69" s="58" t="e">
        <f t="shared" si="6"/>
        <v>#DIV/0!</v>
      </c>
    </row>
    <row r="70" spans="2:7" ht="16.149999999999999" customHeight="1" x14ac:dyDescent="0.2">
      <c r="B70" s="32" t="s">
        <v>273</v>
      </c>
      <c r="C70" s="31">
        <v>0</v>
      </c>
      <c r="D70" s="31">
        <v>0</v>
      </c>
      <c r="E70" s="57">
        <v>183266</v>
      </c>
      <c r="F70" s="58"/>
    </row>
    <row r="71" spans="2:7" ht="23.1" customHeight="1" thickBot="1" x14ac:dyDescent="0.25">
      <c r="B71" s="33" t="s">
        <v>59</v>
      </c>
      <c r="C71" s="34">
        <f t="shared" ref="C71:E71" si="9">SUM(C5+C54+C61)</f>
        <v>70628157</v>
      </c>
      <c r="D71" s="34">
        <f t="shared" si="9"/>
        <v>76154399</v>
      </c>
      <c r="E71" s="34">
        <f t="shared" si="9"/>
        <v>42843878.609999999</v>
      </c>
      <c r="F71" s="42">
        <f t="shared" si="6"/>
        <v>56.259230159507922</v>
      </c>
    </row>
    <row r="72" spans="2:7" s="15" customFormat="1" ht="19.5" customHeight="1" x14ac:dyDescent="0.2">
      <c r="B72" s="35"/>
      <c r="C72" s="36"/>
      <c r="D72" s="36"/>
      <c r="E72" s="39"/>
      <c r="F72" s="40"/>
      <c r="G72" s="38"/>
    </row>
    <row r="73" spans="2:7" s="15" customFormat="1" ht="12.75" customHeight="1" x14ac:dyDescent="0.2">
      <c r="B73" s="35"/>
      <c r="C73" s="36"/>
      <c r="D73" s="36"/>
      <c r="E73" s="36"/>
      <c r="F73" s="40"/>
      <c r="G73" s="38"/>
    </row>
  </sheetData>
  <sheetProtection sheet="1" objects="1" scenarios="1"/>
  <mergeCells count="5">
    <mergeCell ref="B3:C3"/>
    <mergeCell ref="B1:E1"/>
    <mergeCell ref="B2:E2"/>
    <mergeCell ref="B35:E35"/>
    <mergeCell ref="B36:E36"/>
  </mergeCells>
  <pageMargins left="0.78740157480314965" right="0.39370078740157483" top="0.39370078740157483" bottom="0.19685039370078741" header="0.51181102362204722" footer="0.51181102362204722"/>
  <pageSetup paperSize="9" scale="80" orientation="landscape" r:id="rId1"/>
  <headerFooter alignWithMargins="0"/>
  <rowBreaks count="1" manualBreakCount="1"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F18F4-C9A6-4993-8E31-9CE655DF3D40}">
  <dimension ref="A1:L142"/>
  <sheetViews>
    <sheetView topLeftCell="A82" zoomScale="80" zoomScaleNormal="80" zoomScaleSheetLayoutView="70" workbookViewId="0">
      <selection activeCell="N134" sqref="N134"/>
    </sheetView>
  </sheetViews>
  <sheetFormatPr defaultColWidth="10.28515625" defaultRowHeight="14.25" x14ac:dyDescent="0.2"/>
  <cols>
    <col min="1" max="3" width="3.7109375" style="67" customWidth="1"/>
    <col min="4" max="4" width="51.42578125" style="67" customWidth="1"/>
    <col min="5" max="5" width="13.5703125" style="67" customWidth="1"/>
    <col min="6" max="6" width="12.28515625" style="67" bestFit="1" customWidth="1"/>
    <col min="7" max="12" width="13.5703125" style="67" customWidth="1"/>
    <col min="13" max="16384" width="10.28515625" style="67"/>
  </cols>
  <sheetData>
    <row r="1" spans="1:12" ht="24" customHeight="1" x14ac:dyDescent="0.3">
      <c r="A1" s="545" t="s">
        <v>66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</row>
    <row r="2" spans="1:12" ht="28.5" customHeight="1" thickBot="1" x14ac:dyDescent="0.25">
      <c r="A2" s="540"/>
      <c r="B2" s="540"/>
      <c r="C2" s="540"/>
      <c r="D2" s="540"/>
      <c r="E2" s="540"/>
      <c r="F2" s="540"/>
      <c r="G2" s="68"/>
      <c r="H2" s="2"/>
      <c r="I2" s="68"/>
      <c r="J2" s="2"/>
      <c r="K2" s="68"/>
      <c r="L2" s="2" t="s">
        <v>67</v>
      </c>
    </row>
    <row r="3" spans="1:12" ht="31.5" customHeight="1" thickBot="1" x14ac:dyDescent="0.25">
      <c r="A3" s="546" t="s">
        <v>68</v>
      </c>
      <c r="B3" s="547"/>
      <c r="C3" s="548"/>
      <c r="D3" s="552" t="s">
        <v>69</v>
      </c>
      <c r="E3" s="543" t="s">
        <v>2</v>
      </c>
      <c r="F3" s="544"/>
      <c r="G3" s="543" t="s">
        <v>65</v>
      </c>
      <c r="H3" s="544"/>
      <c r="I3" s="543" t="s">
        <v>60</v>
      </c>
      <c r="J3" s="544"/>
      <c r="K3" s="543" t="s">
        <v>61</v>
      </c>
      <c r="L3" s="544"/>
    </row>
    <row r="4" spans="1:12" ht="32.25" thickBot="1" x14ac:dyDescent="0.25">
      <c r="A4" s="549"/>
      <c r="B4" s="550"/>
      <c r="C4" s="551"/>
      <c r="D4" s="553"/>
      <c r="E4" s="69" t="s">
        <v>70</v>
      </c>
      <c r="F4" s="70" t="s">
        <v>71</v>
      </c>
      <c r="G4" s="69" t="s">
        <v>70</v>
      </c>
      <c r="H4" s="70" t="s">
        <v>71</v>
      </c>
      <c r="I4" s="69" t="s">
        <v>70</v>
      </c>
      <c r="J4" s="70" t="s">
        <v>71</v>
      </c>
      <c r="K4" s="69" t="s">
        <v>70</v>
      </c>
      <c r="L4" s="70" t="s">
        <v>71</v>
      </c>
    </row>
    <row r="5" spans="1:12" ht="17.45" customHeight="1" x14ac:dyDescent="0.25">
      <c r="A5" s="71" t="s">
        <v>72</v>
      </c>
      <c r="B5" s="72"/>
      <c r="C5" s="73"/>
      <c r="D5" s="74" t="s">
        <v>73</v>
      </c>
      <c r="E5" s="75"/>
      <c r="F5" s="76"/>
      <c r="G5" s="75"/>
      <c r="H5" s="76"/>
      <c r="I5" s="75"/>
      <c r="J5" s="76"/>
      <c r="K5" s="75"/>
      <c r="L5" s="76"/>
    </row>
    <row r="6" spans="1:12" s="88" customFormat="1" ht="17.45" customHeight="1" x14ac:dyDescent="0.25">
      <c r="A6" s="77"/>
      <c r="B6" s="78">
        <v>1</v>
      </c>
      <c r="C6" s="79"/>
      <c r="D6" s="80" t="s">
        <v>74</v>
      </c>
      <c r="E6" s="81">
        <v>465046</v>
      </c>
      <c r="F6" s="82">
        <v>0</v>
      </c>
      <c r="G6" s="81">
        <v>407546</v>
      </c>
      <c r="H6" s="82">
        <v>0</v>
      </c>
      <c r="I6" s="83">
        <v>110206</v>
      </c>
      <c r="J6" s="84">
        <v>0</v>
      </c>
      <c r="K6" s="86">
        <f>I6/G6*100</f>
        <v>27.041364655768916</v>
      </c>
      <c r="L6" s="87"/>
    </row>
    <row r="7" spans="1:12" s="88" customFormat="1" ht="17.45" customHeight="1" x14ac:dyDescent="0.25">
      <c r="A7" s="77"/>
      <c r="B7" s="78">
        <v>2</v>
      </c>
      <c r="C7" s="79"/>
      <c r="D7" s="80" t="s">
        <v>75</v>
      </c>
      <c r="E7" s="81"/>
      <c r="F7" s="82"/>
      <c r="G7" s="81"/>
      <c r="H7" s="82"/>
      <c r="I7" s="83"/>
      <c r="J7" s="84"/>
      <c r="K7" s="86"/>
      <c r="L7" s="87"/>
    </row>
    <row r="8" spans="1:12" s="88" customFormat="1" ht="17.45" customHeight="1" x14ac:dyDescent="0.25">
      <c r="A8" s="77"/>
      <c r="B8" s="78"/>
      <c r="C8" s="79" t="s">
        <v>72</v>
      </c>
      <c r="D8" s="80" t="s">
        <v>76</v>
      </c>
      <c r="E8" s="81">
        <v>95357</v>
      </c>
      <c r="F8" s="82">
        <v>0</v>
      </c>
      <c r="G8" s="81">
        <v>127737</v>
      </c>
      <c r="H8" s="82">
        <v>0</v>
      </c>
      <c r="I8" s="83">
        <v>40683</v>
      </c>
      <c r="J8" s="84">
        <v>0</v>
      </c>
      <c r="K8" s="86">
        <f t="shared" ref="K8:K34" si="0">I8/G8*100</f>
        <v>31.84903356114517</v>
      </c>
      <c r="L8" s="87"/>
    </row>
    <row r="9" spans="1:12" s="88" customFormat="1" ht="17.45" customHeight="1" x14ac:dyDescent="0.25">
      <c r="A9" s="77"/>
      <c r="B9" s="78"/>
      <c r="C9" s="79" t="s">
        <v>77</v>
      </c>
      <c r="D9" s="80" t="s">
        <v>78</v>
      </c>
      <c r="E9" s="81">
        <v>121274</v>
      </c>
      <c r="F9" s="82">
        <v>0</v>
      </c>
      <c r="G9" s="81">
        <v>121274</v>
      </c>
      <c r="H9" s="82">
        <v>0</v>
      </c>
      <c r="I9" s="83">
        <v>30198</v>
      </c>
      <c r="J9" s="84">
        <v>0</v>
      </c>
      <c r="K9" s="86">
        <f t="shared" si="0"/>
        <v>24.900638224186551</v>
      </c>
      <c r="L9" s="87"/>
    </row>
    <row r="10" spans="1:12" s="88" customFormat="1" ht="17.45" customHeight="1" x14ac:dyDescent="0.25">
      <c r="A10" s="77"/>
      <c r="B10" s="78"/>
      <c r="C10" s="79" t="s">
        <v>79</v>
      </c>
      <c r="D10" s="80" t="s">
        <v>80</v>
      </c>
      <c r="E10" s="81">
        <v>8800</v>
      </c>
      <c r="F10" s="82">
        <v>0</v>
      </c>
      <c r="G10" s="81">
        <v>8800</v>
      </c>
      <c r="H10" s="82">
        <v>0</v>
      </c>
      <c r="I10" s="83">
        <v>0</v>
      </c>
      <c r="J10" s="84">
        <v>0</v>
      </c>
      <c r="K10" s="86">
        <f t="shared" si="0"/>
        <v>0</v>
      </c>
      <c r="L10" s="87"/>
    </row>
    <row r="11" spans="1:12" s="89" customFormat="1" ht="17.45" customHeight="1" x14ac:dyDescent="0.25">
      <c r="A11" s="77"/>
      <c r="B11" s="78">
        <v>3</v>
      </c>
      <c r="C11" s="79"/>
      <c r="D11" s="80" t="s">
        <v>81</v>
      </c>
      <c r="E11" s="81">
        <v>77855</v>
      </c>
      <c r="F11" s="82">
        <v>0</v>
      </c>
      <c r="G11" s="81">
        <v>77855</v>
      </c>
      <c r="H11" s="82">
        <v>0</v>
      </c>
      <c r="I11" s="83">
        <v>35604</v>
      </c>
      <c r="J11" s="84">
        <v>0</v>
      </c>
      <c r="K11" s="86">
        <f t="shared" si="0"/>
        <v>45.73116691285081</v>
      </c>
      <c r="L11" s="87"/>
    </row>
    <row r="12" spans="1:12" s="88" customFormat="1" ht="17.45" customHeight="1" x14ac:dyDescent="0.25">
      <c r="A12" s="77"/>
      <c r="B12" s="78">
        <v>4</v>
      </c>
      <c r="C12" s="79"/>
      <c r="D12" s="80" t="s">
        <v>82</v>
      </c>
      <c r="E12" s="81">
        <v>61200</v>
      </c>
      <c r="F12" s="82">
        <v>0</v>
      </c>
      <c r="G12" s="81">
        <v>61200</v>
      </c>
      <c r="H12" s="82">
        <v>0</v>
      </c>
      <c r="I12" s="83">
        <v>5215</v>
      </c>
      <c r="J12" s="84">
        <v>0</v>
      </c>
      <c r="K12" s="86">
        <f t="shared" si="0"/>
        <v>8.5212418300653603</v>
      </c>
      <c r="L12" s="87"/>
    </row>
    <row r="13" spans="1:12" ht="17.45" customHeight="1" x14ac:dyDescent="0.25">
      <c r="A13" s="77"/>
      <c r="B13" s="78">
        <v>5</v>
      </c>
      <c r="C13" s="79"/>
      <c r="D13" s="80" t="s">
        <v>83</v>
      </c>
      <c r="E13" s="81"/>
      <c r="F13" s="82"/>
      <c r="G13" s="81"/>
      <c r="H13" s="82"/>
      <c r="I13" s="83"/>
      <c r="J13" s="84"/>
      <c r="K13" s="86"/>
      <c r="L13" s="87"/>
    </row>
    <row r="14" spans="1:12" ht="17.45" customHeight="1" x14ac:dyDescent="0.25">
      <c r="A14" s="77"/>
      <c r="B14" s="78"/>
      <c r="C14" s="79" t="s">
        <v>72</v>
      </c>
      <c r="D14" s="80" t="s">
        <v>84</v>
      </c>
      <c r="E14" s="81">
        <v>220000</v>
      </c>
      <c r="F14" s="82">
        <v>0</v>
      </c>
      <c r="G14" s="81">
        <v>220000</v>
      </c>
      <c r="H14" s="82">
        <v>0</v>
      </c>
      <c r="I14" s="83">
        <v>107799</v>
      </c>
      <c r="J14" s="84">
        <v>0</v>
      </c>
      <c r="K14" s="86">
        <f t="shared" si="0"/>
        <v>48.999545454545455</v>
      </c>
      <c r="L14" s="87"/>
    </row>
    <row r="15" spans="1:12" ht="17.45" customHeight="1" x14ac:dyDescent="0.25">
      <c r="A15" s="77"/>
      <c r="B15" s="78"/>
      <c r="C15" s="79" t="s">
        <v>77</v>
      </c>
      <c r="D15" s="80" t="s">
        <v>85</v>
      </c>
      <c r="E15" s="90">
        <v>219715</v>
      </c>
      <c r="F15" s="82">
        <v>0</v>
      </c>
      <c r="G15" s="90">
        <v>219715</v>
      </c>
      <c r="H15" s="82">
        <v>0</v>
      </c>
      <c r="I15" s="91">
        <v>146482</v>
      </c>
      <c r="J15" s="84">
        <v>0</v>
      </c>
      <c r="K15" s="92">
        <f t="shared" si="0"/>
        <v>66.66909405366043</v>
      </c>
      <c r="L15" s="87"/>
    </row>
    <row r="16" spans="1:12" ht="17.45" customHeight="1" x14ac:dyDescent="0.25">
      <c r="A16" s="93" t="s">
        <v>72</v>
      </c>
      <c r="B16" s="94"/>
      <c r="C16" s="95"/>
      <c r="D16" s="96" t="s">
        <v>86</v>
      </c>
      <c r="E16" s="97">
        <f t="shared" ref="E16:J16" si="1">SUM(E5:E15)</f>
        <v>1269247</v>
      </c>
      <c r="F16" s="98">
        <f t="shared" si="1"/>
        <v>0</v>
      </c>
      <c r="G16" s="97">
        <f t="shared" si="1"/>
        <v>1244127</v>
      </c>
      <c r="H16" s="98">
        <f t="shared" si="1"/>
        <v>0</v>
      </c>
      <c r="I16" s="97">
        <f t="shared" si="1"/>
        <v>476187</v>
      </c>
      <c r="J16" s="98">
        <f t="shared" si="1"/>
        <v>0</v>
      </c>
      <c r="K16" s="99">
        <f t="shared" si="0"/>
        <v>38.274790274626305</v>
      </c>
      <c r="L16" s="100"/>
    </row>
    <row r="17" spans="1:12" ht="17.45" customHeight="1" x14ac:dyDescent="0.25">
      <c r="A17" s="101" t="s">
        <v>77</v>
      </c>
      <c r="B17" s="102"/>
      <c r="C17" s="103"/>
      <c r="D17" s="104" t="s">
        <v>87</v>
      </c>
      <c r="E17" s="105"/>
      <c r="F17" s="106"/>
      <c r="G17" s="105"/>
      <c r="H17" s="106"/>
      <c r="I17" s="105"/>
      <c r="J17" s="106"/>
      <c r="K17" s="107"/>
      <c r="L17" s="108"/>
    </row>
    <row r="18" spans="1:12" ht="17.45" customHeight="1" x14ac:dyDescent="0.25">
      <c r="A18" s="77"/>
      <c r="B18" s="78">
        <v>1</v>
      </c>
      <c r="C18" s="79"/>
      <c r="D18" s="80" t="s">
        <v>88</v>
      </c>
      <c r="E18" s="81">
        <v>420000</v>
      </c>
      <c r="F18" s="82">
        <v>0</v>
      </c>
      <c r="G18" s="81">
        <v>420000</v>
      </c>
      <c r="H18" s="82">
        <v>0</v>
      </c>
      <c r="I18" s="83">
        <v>217656</v>
      </c>
      <c r="J18" s="84">
        <v>0</v>
      </c>
      <c r="K18" s="86">
        <f t="shared" si="0"/>
        <v>51.822857142857146</v>
      </c>
      <c r="L18" s="87"/>
    </row>
    <row r="19" spans="1:12" s="109" customFormat="1" ht="17.45" customHeight="1" x14ac:dyDescent="0.25">
      <c r="A19" s="77"/>
      <c r="B19" s="78">
        <v>2</v>
      </c>
      <c r="C19" s="79"/>
      <c r="D19" s="80" t="s">
        <v>89</v>
      </c>
      <c r="E19" s="81">
        <v>13349120</v>
      </c>
      <c r="F19" s="82">
        <v>0</v>
      </c>
      <c r="G19" s="81">
        <v>13605491</v>
      </c>
      <c r="H19" s="82">
        <v>0</v>
      </c>
      <c r="I19" s="83">
        <v>5615634</v>
      </c>
      <c r="J19" s="84">
        <v>0</v>
      </c>
      <c r="K19" s="86">
        <f t="shared" si="0"/>
        <v>41.274761785517335</v>
      </c>
      <c r="L19" s="87"/>
    </row>
    <row r="20" spans="1:12" ht="17.45" customHeight="1" x14ac:dyDescent="0.25">
      <c r="A20" s="93" t="s">
        <v>77</v>
      </c>
      <c r="B20" s="94"/>
      <c r="C20" s="95"/>
      <c r="D20" s="96" t="s">
        <v>90</v>
      </c>
      <c r="E20" s="97">
        <f t="shared" ref="E20:J20" si="2">SUM(E18:E19)</f>
        <v>13769120</v>
      </c>
      <c r="F20" s="98">
        <f t="shared" si="2"/>
        <v>0</v>
      </c>
      <c r="G20" s="97">
        <f t="shared" si="2"/>
        <v>14025491</v>
      </c>
      <c r="H20" s="98">
        <f t="shared" si="2"/>
        <v>0</v>
      </c>
      <c r="I20" s="97">
        <f t="shared" si="2"/>
        <v>5833290</v>
      </c>
      <c r="J20" s="98">
        <f t="shared" si="2"/>
        <v>0</v>
      </c>
      <c r="K20" s="99">
        <f t="shared" si="0"/>
        <v>41.590629518781199</v>
      </c>
      <c r="L20" s="100"/>
    </row>
    <row r="21" spans="1:12" ht="17.45" customHeight="1" x14ac:dyDescent="0.25">
      <c r="A21" s="101" t="s">
        <v>79</v>
      </c>
      <c r="B21" s="102"/>
      <c r="C21" s="103"/>
      <c r="D21" s="104" t="s">
        <v>91</v>
      </c>
      <c r="E21" s="105"/>
      <c r="F21" s="106"/>
      <c r="G21" s="105"/>
      <c r="H21" s="106"/>
      <c r="I21" s="105"/>
      <c r="J21" s="106"/>
      <c r="K21" s="107"/>
      <c r="L21" s="108"/>
    </row>
    <row r="22" spans="1:12" ht="17.45" customHeight="1" x14ac:dyDescent="0.25">
      <c r="A22" s="77"/>
      <c r="B22" s="78">
        <v>1</v>
      </c>
      <c r="C22" s="79"/>
      <c r="D22" s="80" t="s">
        <v>92</v>
      </c>
      <c r="E22" s="81">
        <v>16560</v>
      </c>
      <c r="F22" s="82">
        <v>0</v>
      </c>
      <c r="G22" s="81">
        <v>16560</v>
      </c>
      <c r="H22" s="82">
        <v>0</v>
      </c>
      <c r="I22" s="83">
        <v>1861</v>
      </c>
      <c r="J22" s="84">
        <v>0</v>
      </c>
      <c r="K22" s="86">
        <f t="shared" si="0"/>
        <v>11.237922705314011</v>
      </c>
      <c r="L22" s="87"/>
    </row>
    <row r="23" spans="1:12" ht="17.45" customHeight="1" x14ac:dyDescent="0.25">
      <c r="A23" s="77"/>
      <c r="B23" s="78">
        <v>2</v>
      </c>
      <c r="C23" s="79"/>
      <c r="D23" s="80" t="s">
        <v>93</v>
      </c>
      <c r="E23" s="81">
        <v>5660</v>
      </c>
      <c r="F23" s="82">
        <v>0</v>
      </c>
      <c r="G23" s="81">
        <v>5827</v>
      </c>
      <c r="H23" s="82">
        <v>0</v>
      </c>
      <c r="I23" s="83">
        <v>300</v>
      </c>
      <c r="J23" s="84">
        <v>0</v>
      </c>
      <c r="K23" s="86">
        <f t="shared" si="0"/>
        <v>5.1484468851896343</v>
      </c>
      <c r="L23" s="87"/>
    </row>
    <row r="24" spans="1:12" ht="17.45" customHeight="1" x14ac:dyDescent="0.25">
      <c r="A24" s="77"/>
      <c r="B24" s="78">
        <v>3</v>
      </c>
      <c r="C24" s="79"/>
      <c r="D24" s="80" t="s">
        <v>94</v>
      </c>
      <c r="E24" s="81">
        <v>140600</v>
      </c>
      <c r="F24" s="82">
        <v>0</v>
      </c>
      <c r="G24" s="81">
        <v>140600</v>
      </c>
      <c r="H24" s="82">
        <v>0</v>
      </c>
      <c r="I24" s="83">
        <v>31370</v>
      </c>
      <c r="J24" s="84">
        <v>0</v>
      </c>
      <c r="K24" s="86">
        <f t="shared" si="0"/>
        <v>22.311522048364154</v>
      </c>
      <c r="L24" s="87"/>
    </row>
    <row r="25" spans="1:12" ht="17.45" customHeight="1" x14ac:dyDescent="0.25">
      <c r="A25" s="77"/>
      <c r="B25" s="78">
        <v>4</v>
      </c>
      <c r="C25" s="79"/>
      <c r="D25" s="80" t="s">
        <v>95</v>
      </c>
      <c r="E25" s="81">
        <v>190000</v>
      </c>
      <c r="F25" s="82">
        <v>0</v>
      </c>
      <c r="G25" s="81">
        <v>199931</v>
      </c>
      <c r="H25" s="82">
        <v>0</v>
      </c>
      <c r="I25" s="83">
        <v>111097</v>
      </c>
      <c r="J25" s="84">
        <v>0</v>
      </c>
      <c r="K25" s="86">
        <f t="shared" si="0"/>
        <v>55.56767084644202</v>
      </c>
      <c r="L25" s="87"/>
    </row>
    <row r="26" spans="1:12" s="109" customFormat="1" ht="17.45" customHeight="1" x14ac:dyDescent="0.25">
      <c r="A26" s="93" t="s">
        <v>79</v>
      </c>
      <c r="B26" s="94"/>
      <c r="C26" s="95"/>
      <c r="D26" s="96" t="s">
        <v>96</v>
      </c>
      <c r="E26" s="97">
        <f t="shared" ref="E26:J26" si="3">SUM(E22:E25)</f>
        <v>352820</v>
      </c>
      <c r="F26" s="98">
        <f t="shared" si="3"/>
        <v>0</v>
      </c>
      <c r="G26" s="97">
        <f t="shared" si="3"/>
        <v>362918</v>
      </c>
      <c r="H26" s="98">
        <f t="shared" si="3"/>
        <v>0</v>
      </c>
      <c r="I26" s="97">
        <f t="shared" si="3"/>
        <v>144628</v>
      </c>
      <c r="J26" s="98">
        <f t="shared" si="3"/>
        <v>0</v>
      </c>
      <c r="K26" s="99">
        <f t="shared" si="0"/>
        <v>39.851426493036996</v>
      </c>
      <c r="L26" s="100"/>
    </row>
    <row r="27" spans="1:12" ht="17.45" customHeight="1" x14ac:dyDescent="0.25">
      <c r="A27" s="101" t="s">
        <v>97</v>
      </c>
      <c r="B27" s="102"/>
      <c r="C27" s="103"/>
      <c r="D27" s="104" t="s">
        <v>98</v>
      </c>
      <c r="E27" s="105"/>
      <c r="F27" s="106"/>
      <c r="G27" s="105"/>
      <c r="H27" s="106"/>
      <c r="I27" s="105"/>
      <c r="J27" s="106"/>
      <c r="K27" s="107"/>
      <c r="L27" s="108"/>
    </row>
    <row r="28" spans="1:12" s="88" customFormat="1" ht="17.45" customHeight="1" x14ac:dyDescent="0.25">
      <c r="A28" s="77"/>
      <c r="B28" s="78">
        <v>1</v>
      </c>
      <c r="C28" s="79"/>
      <c r="D28" s="80" t="s">
        <v>99</v>
      </c>
      <c r="E28" s="81"/>
      <c r="F28" s="82"/>
      <c r="G28" s="81"/>
      <c r="H28" s="82"/>
      <c r="I28" s="83"/>
      <c r="J28" s="84"/>
      <c r="K28" s="86"/>
      <c r="L28" s="87"/>
    </row>
    <row r="29" spans="1:12" ht="17.45" customHeight="1" x14ac:dyDescent="0.25">
      <c r="A29" s="77"/>
      <c r="B29" s="78"/>
      <c r="C29" s="79" t="s">
        <v>72</v>
      </c>
      <c r="D29" s="80" t="s">
        <v>100</v>
      </c>
      <c r="E29" s="81">
        <v>2309000</v>
      </c>
      <c r="F29" s="82">
        <v>1200000</v>
      </c>
      <c r="G29" s="81">
        <v>2299000</v>
      </c>
      <c r="H29" s="82">
        <v>1292919</v>
      </c>
      <c r="I29" s="83">
        <v>326491</v>
      </c>
      <c r="J29" s="84">
        <v>1093020</v>
      </c>
      <c r="K29" s="86">
        <f t="shared" si="0"/>
        <v>14.201435406698565</v>
      </c>
      <c r="L29" s="87">
        <f t="shared" ref="L29:L34" si="4">J29/H29*100</f>
        <v>84.538938634206787</v>
      </c>
    </row>
    <row r="30" spans="1:12" ht="17.45" customHeight="1" x14ac:dyDescent="0.25">
      <c r="A30" s="77"/>
      <c r="B30" s="78"/>
      <c r="C30" s="79" t="s">
        <v>77</v>
      </c>
      <c r="D30" s="80" t="s">
        <v>101</v>
      </c>
      <c r="E30" s="81">
        <v>29000</v>
      </c>
      <c r="F30" s="82">
        <v>0</v>
      </c>
      <c r="G30" s="81">
        <v>29000</v>
      </c>
      <c r="H30" s="82">
        <v>0</v>
      </c>
      <c r="I30" s="83">
        <v>596</v>
      </c>
      <c r="J30" s="84">
        <v>0</v>
      </c>
      <c r="K30" s="86">
        <f t="shared" si="0"/>
        <v>2.0551724137931036</v>
      </c>
      <c r="L30" s="87"/>
    </row>
    <row r="31" spans="1:12" ht="17.45" customHeight="1" x14ac:dyDescent="0.25">
      <c r="A31" s="77"/>
      <c r="B31" s="78"/>
      <c r="C31" s="79" t="s">
        <v>79</v>
      </c>
      <c r="D31" s="80" t="s">
        <v>102</v>
      </c>
      <c r="E31" s="81">
        <v>0</v>
      </c>
      <c r="F31" s="82">
        <v>60000</v>
      </c>
      <c r="G31" s="81">
        <v>0</v>
      </c>
      <c r="H31" s="82">
        <v>60000</v>
      </c>
      <c r="I31" s="83">
        <v>0</v>
      </c>
      <c r="J31" s="84">
        <v>689</v>
      </c>
      <c r="K31" s="86"/>
      <c r="L31" s="87">
        <f t="shared" si="4"/>
        <v>1.1483333333333334</v>
      </c>
    </row>
    <row r="32" spans="1:12" ht="17.45" customHeight="1" x14ac:dyDescent="0.25">
      <c r="A32" s="77"/>
      <c r="B32" s="78"/>
      <c r="C32" s="79" t="s">
        <v>97</v>
      </c>
      <c r="D32" s="80" t="s">
        <v>103</v>
      </c>
      <c r="E32" s="81">
        <v>12300</v>
      </c>
      <c r="F32" s="82">
        <v>0</v>
      </c>
      <c r="G32" s="81">
        <v>12300</v>
      </c>
      <c r="H32" s="82">
        <v>0</v>
      </c>
      <c r="I32" s="83">
        <v>0</v>
      </c>
      <c r="J32" s="84">
        <v>0</v>
      </c>
      <c r="K32" s="86">
        <f t="shared" si="0"/>
        <v>0</v>
      </c>
      <c r="L32" s="87"/>
    </row>
    <row r="33" spans="1:12" ht="17.45" customHeight="1" x14ac:dyDescent="0.25">
      <c r="A33" s="77"/>
      <c r="B33" s="78"/>
      <c r="C33" s="79" t="s">
        <v>104</v>
      </c>
      <c r="D33" s="80" t="s">
        <v>105</v>
      </c>
      <c r="E33" s="81">
        <v>270000</v>
      </c>
      <c r="F33" s="82">
        <v>0</v>
      </c>
      <c r="G33" s="81">
        <v>280000</v>
      </c>
      <c r="H33" s="82">
        <v>0</v>
      </c>
      <c r="I33" s="83">
        <v>113424</v>
      </c>
      <c r="J33" s="84">
        <v>0</v>
      </c>
      <c r="K33" s="86">
        <f t="shared" si="0"/>
        <v>40.508571428571429</v>
      </c>
      <c r="L33" s="87"/>
    </row>
    <row r="34" spans="1:12" ht="18" customHeight="1" thickBot="1" x14ac:dyDescent="0.3">
      <c r="A34" s="110" t="s">
        <v>97</v>
      </c>
      <c r="B34" s="111"/>
      <c r="C34" s="112"/>
      <c r="D34" s="113" t="s">
        <v>106</v>
      </c>
      <c r="E34" s="114">
        <f t="shared" ref="E34:J34" si="5">SUM(E29:E33)</f>
        <v>2620300</v>
      </c>
      <c r="F34" s="115">
        <f t="shared" si="5"/>
        <v>1260000</v>
      </c>
      <c r="G34" s="114">
        <f t="shared" si="5"/>
        <v>2620300</v>
      </c>
      <c r="H34" s="115">
        <f t="shared" si="5"/>
        <v>1352919</v>
      </c>
      <c r="I34" s="114">
        <f t="shared" si="5"/>
        <v>440511</v>
      </c>
      <c r="J34" s="115">
        <f t="shared" si="5"/>
        <v>1093709</v>
      </c>
      <c r="K34" s="116">
        <f t="shared" si="0"/>
        <v>16.811471968858527</v>
      </c>
      <c r="L34" s="117">
        <f t="shared" si="4"/>
        <v>80.840685953852372</v>
      </c>
    </row>
    <row r="35" spans="1:12" s="88" customFormat="1" ht="24" customHeight="1" x14ac:dyDescent="0.25">
      <c r="A35" s="118"/>
      <c r="B35" s="119"/>
      <c r="C35" s="118"/>
      <c r="D35" s="120"/>
      <c r="E35" s="121"/>
      <c r="F35" s="121"/>
      <c r="G35" s="121"/>
      <c r="H35" s="121"/>
      <c r="I35" s="121"/>
      <c r="J35" s="121"/>
      <c r="K35" s="121"/>
      <c r="L35" s="121"/>
    </row>
    <row r="36" spans="1:12" s="122" customFormat="1" ht="23.1" customHeight="1" x14ac:dyDescent="0.3">
      <c r="A36" s="545" t="s">
        <v>66</v>
      </c>
      <c r="B36" s="545"/>
      <c r="C36" s="545"/>
      <c r="D36" s="545"/>
      <c r="E36" s="545"/>
      <c r="F36" s="545"/>
      <c r="G36" s="545"/>
      <c r="H36" s="545"/>
      <c r="I36" s="545"/>
      <c r="J36" s="545"/>
      <c r="K36" s="545"/>
      <c r="L36" s="545"/>
    </row>
    <row r="37" spans="1:12" s="122" customFormat="1" ht="27" customHeight="1" thickBot="1" x14ac:dyDescent="0.3">
      <c r="A37" s="118"/>
      <c r="B37" s="119"/>
      <c r="C37" s="118"/>
      <c r="D37" s="120"/>
      <c r="E37" s="123"/>
      <c r="F37" s="2"/>
      <c r="G37" s="123"/>
      <c r="H37" s="2"/>
      <c r="I37" s="123"/>
      <c r="J37" s="2"/>
      <c r="K37" s="123"/>
      <c r="L37" s="189" t="s">
        <v>107</v>
      </c>
    </row>
    <row r="38" spans="1:12" ht="30.6" customHeight="1" thickBot="1" x14ac:dyDescent="0.25">
      <c r="A38" s="546" t="s">
        <v>68</v>
      </c>
      <c r="B38" s="547"/>
      <c r="C38" s="548"/>
      <c r="D38" s="552" t="s">
        <v>69</v>
      </c>
      <c r="E38" s="543" t="s">
        <v>2</v>
      </c>
      <c r="F38" s="544"/>
      <c r="G38" s="543" t="s">
        <v>65</v>
      </c>
      <c r="H38" s="544"/>
      <c r="I38" s="543" t="s">
        <v>60</v>
      </c>
      <c r="J38" s="544"/>
      <c r="K38" s="543" t="s">
        <v>61</v>
      </c>
      <c r="L38" s="544"/>
    </row>
    <row r="39" spans="1:12" ht="33" customHeight="1" thickBot="1" x14ac:dyDescent="0.25">
      <c r="A39" s="549"/>
      <c r="B39" s="550"/>
      <c r="C39" s="551"/>
      <c r="D39" s="553"/>
      <c r="E39" s="69" t="s">
        <v>70</v>
      </c>
      <c r="F39" s="70" t="s">
        <v>71</v>
      </c>
      <c r="G39" s="69" t="s">
        <v>70</v>
      </c>
      <c r="H39" s="70" t="s">
        <v>71</v>
      </c>
      <c r="I39" s="69" t="s">
        <v>70</v>
      </c>
      <c r="J39" s="70" t="s">
        <v>71</v>
      </c>
      <c r="K39" s="69" t="s">
        <v>70</v>
      </c>
      <c r="L39" s="70" t="s">
        <v>71</v>
      </c>
    </row>
    <row r="40" spans="1:12" ht="17.45" customHeight="1" x14ac:dyDescent="0.25">
      <c r="A40" s="71" t="s">
        <v>104</v>
      </c>
      <c r="B40" s="72"/>
      <c r="C40" s="73"/>
      <c r="D40" s="74" t="s">
        <v>108</v>
      </c>
      <c r="E40" s="75"/>
      <c r="F40" s="76"/>
      <c r="G40" s="75"/>
      <c r="H40" s="76"/>
      <c r="I40" s="75"/>
      <c r="J40" s="76"/>
      <c r="K40" s="75"/>
      <c r="L40" s="76"/>
    </row>
    <row r="41" spans="1:12" s="88" customFormat="1" ht="17.100000000000001" customHeight="1" x14ac:dyDescent="0.25">
      <c r="A41" s="77"/>
      <c r="B41" s="78">
        <v>1</v>
      </c>
      <c r="C41" s="79"/>
      <c r="D41" s="80" t="s">
        <v>109</v>
      </c>
      <c r="E41" s="125"/>
      <c r="F41" s="126"/>
      <c r="G41" s="125"/>
      <c r="H41" s="126"/>
      <c r="I41" s="127"/>
      <c r="J41" s="128"/>
      <c r="K41" s="127"/>
      <c r="L41" s="128"/>
    </row>
    <row r="42" spans="1:12" s="88" customFormat="1" ht="17.100000000000001" customHeight="1" x14ac:dyDescent="0.25">
      <c r="A42" s="77"/>
      <c r="B42" s="78"/>
      <c r="C42" s="79" t="s">
        <v>72</v>
      </c>
      <c r="D42" s="80" t="s">
        <v>110</v>
      </c>
      <c r="E42" s="81">
        <v>15549091</v>
      </c>
      <c r="F42" s="82">
        <v>0</v>
      </c>
      <c r="G42" s="81">
        <v>16902119</v>
      </c>
      <c r="H42" s="82">
        <v>47951</v>
      </c>
      <c r="I42" s="83">
        <v>7001478</v>
      </c>
      <c r="J42" s="84">
        <v>32660</v>
      </c>
      <c r="K42" s="86">
        <f t="shared" ref="K42:K72" si="6">I42/G42*100</f>
        <v>41.423670014392869</v>
      </c>
      <c r="L42" s="87">
        <f t="shared" ref="L42:L72" si="7">J42/H42*100</f>
        <v>68.111196846781084</v>
      </c>
    </row>
    <row r="43" spans="1:12" s="88" customFormat="1" ht="17.100000000000001" customHeight="1" x14ac:dyDescent="0.25">
      <c r="A43" s="77"/>
      <c r="B43" s="78">
        <v>2</v>
      </c>
      <c r="C43" s="79"/>
      <c r="D43" s="80" t="s">
        <v>111</v>
      </c>
      <c r="E43" s="81"/>
      <c r="F43" s="82"/>
      <c r="G43" s="81"/>
      <c r="H43" s="82"/>
      <c r="I43" s="83"/>
      <c r="J43" s="84"/>
      <c r="K43" s="86"/>
      <c r="L43" s="87"/>
    </row>
    <row r="44" spans="1:12" s="88" customFormat="1" ht="17.100000000000001" customHeight="1" x14ac:dyDescent="0.25">
      <c r="A44" s="77"/>
      <c r="B44" s="78"/>
      <c r="C44" s="79" t="s">
        <v>72</v>
      </c>
      <c r="D44" s="80" t="s">
        <v>112</v>
      </c>
      <c r="E44" s="81">
        <v>1576043</v>
      </c>
      <c r="F44" s="82">
        <v>0</v>
      </c>
      <c r="G44" s="81">
        <v>1742076</v>
      </c>
      <c r="H44" s="82">
        <v>0</v>
      </c>
      <c r="I44" s="83">
        <v>825068</v>
      </c>
      <c r="J44" s="84">
        <v>0</v>
      </c>
      <c r="K44" s="86">
        <f t="shared" si="6"/>
        <v>47.36119434513764</v>
      </c>
      <c r="L44" s="87"/>
    </row>
    <row r="45" spans="1:12" s="88" customFormat="1" ht="17.100000000000001" customHeight="1" x14ac:dyDescent="0.25">
      <c r="A45" s="77"/>
      <c r="B45" s="78"/>
      <c r="C45" s="79" t="s">
        <v>77</v>
      </c>
      <c r="D45" s="80" t="s">
        <v>113</v>
      </c>
      <c r="E45" s="81">
        <v>1294062</v>
      </c>
      <c r="F45" s="82">
        <v>0</v>
      </c>
      <c r="G45" s="81">
        <v>1488401</v>
      </c>
      <c r="H45" s="82">
        <v>0</v>
      </c>
      <c r="I45" s="83">
        <v>789462</v>
      </c>
      <c r="J45" s="84">
        <v>0</v>
      </c>
      <c r="K45" s="86">
        <f t="shared" si="6"/>
        <v>53.040947970338635</v>
      </c>
      <c r="L45" s="87"/>
    </row>
    <row r="46" spans="1:12" s="88" customFormat="1" ht="17.100000000000001" customHeight="1" x14ac:dyDescent="0.25">
      <c r="A46" s="77"/>
      <c r="B46" s="78"/>
      <c r="C46" s="79" t="s">
        <v>79</v>
      </c>
      <c r="D46" s="80" t="s">
        <v>114</v>
      </c>
      <c r="E46" s="81">
        <v>1332859</v>
      </c>
      <c r="F46" s="82">
        <v>0</v>
      </c>
      <c r="G46" s="81">
        <v>1587684</v>
      </c>
      <c r="H46" s="82">
        <v>0</v>
      </c>
      <c r="I46" s="83">
        <v>808920</v>
      </c>
      <c r="J46" s="84">
        <v>0</v>
      </c>
      <c r="K46" s="86">
        <f t="shared" si="6"/>
        <v>50.949685201841177</v>
      </c>
      <c r="L46" s="87"/>
    </row>
    <row r="47" spans="1:12" s="88" customFormat="1" ht="17.100000000000001" customHeight="1" x14ac:dyDescent="0.25">
      <c r="A47" s="77"/>
      <c r="B47" s="78"/>
      <c r="C47" s="79" t="s">
        <v>97</v>
      </c>
      <c r="D47" s="80" t="s">
        <v>115</v>
      </c>
      <c r="E47" s="81">
        <v>1153059</v>
      </c>
      <c r="F47" s="82">
        <v>0</v>
      </c>
      <c r="G47" s="81">
        <v>1263562</v>
      </c>
      <c r="H47" s="82">
        <v>0</v>
      </c>
      <c r="I47" s="83">
        <v>642850</v>
      </c>
      <c r="J47" s="84">
        <v>0</v>
      </c>
      <c r="K47" s="86">
        <f t="shared" si="6"/>
        <v>50.876015581348597</v>
      </c>
      <c r="L47" s="87"/>
    </row>
    <row r="48" spans="1:12" s="88" customFormat="1" ht="17.100000000000001" customHeight="1" x14ac:dyDescent="0.25">
      <c r="A48" s="77"/>
      <c r="B48" s="78"/>
      <c r="C48" s="79" t="s">
        <v>104</v>
      </c>
      <c r="D48" s="80" t="s">
        <v>116</v>
      </c>
      <c r="E48" s="81">
        <v>1083643</v>
      </c>
      <c r="F48" s="82">
        <v>0</v>
      </c>
      <c r="G48" s="81">
        <v>1193422</v>
      </c>
      <c r="H48" s="82">
        <v>0</v>
      </c>
      <c r="I48" s="83">
        <v>619427</v>
      </c>
      <c r="J48" s="84">
        <v>0</v>
      </c>
      <c r="K48" s="86">
        <f t="shared" si="6"/>
        <v>51.903433990658797</v>
      </c>
      <c r="L48" s="87"/>
    </row>
    <row r="49" spans="1:12" s="88" customFormat="1" ht="17.100000000000001" customHeight="1" x14ac:dyDescent="0.25">
      <c r="A49" s="77"/>
      <c r="B49" s="78"/>
      <c r="C49" s="79" t="s">
        <v>117</v>
      </c>
      <c r="D49" s="80" t="s">
        <v>118</v>
      </c>
      <c r="E49" s="81">
        <v>1127536</v>
      </c>
      <c r="F49" s="82">
        <v>0</v>
      </c>
      <c r="G49" s="81">
        <v>1284487</v>
      </c>
      <c r="H49" s="82">
        <v>0</v>
      </c>
      <c r="I49" s="83">
        <v>656891</v>
      </c>
      <c r="J49" s="84">
        <v>0</v>
      </c>
      <c r="K49" s="86">
        <f t="shared" si="6"/>
        <v>51.140338516466109</v>
      </c>
      <c r="L49" s="87"/>
    </row>
    <row r="50" spans="1:12" s="88" customFormat="1" ht="17.100000000000001" customHeight="1" x14ac:dyDescent="0.25">
      <c r="A50" s="77"/>
      <c r="B50" s="78"/>
      <c r="C50" s="79" t="s">
        <v>119</v>
      </c>
      <c r="D50" s="80" t="s">
        <v>120</v>
      </c>
      <c r="E50" s="81">
        <v>1077458</v>
      </c>
      <c r="F50" s="82">
        <v>0</v>
      </c>
      <c r="G50" s="81">
        <v>1356683</v>
      </c>
      <c r="H50" s="82">
        <v>0</v>
      </c>
      <c r="I50" s="83">
        <v>703089</v>
      </c>
      <c r="J50" s="84">
        <v>0</v>
      </c>
      <c r="K50" s="86">
        <f t="shared" si="6"/>
        <v>51.824118088013194</v>
      </c>
      <c r="L50" s="87"/>
    </row>
    <row r="51" spans="1:12" s="88" customFormat="1" ht="17.100000000000001" customHeight="1" x14ac:dyDescent="0.25">
      <c r="A51" s="77"/>
      <c r="B51" s="78"/>
      <c r="C51" s="79" t="s">
        <v>121</v>
      </c>
      <c r="D51" s="80" t="s">
        <v>122</v>
      </c>
      <c r="E51" s="81">
        <v>1556643</v>
      </c>
      <c r="F51" s="82">
        <v>0</v>
      </c>
      <c r="G51" s="81">
        <v>1726822</v>
      </c>
      <c r="H51" s="82">
        <v>0</v>
      </c>
      <c r="I51" s="83">
        <v>835584</v>
      </c>
      <c r="J51" s="84">
        <v>0</v>
      </c>
      <c r="K51" s="86">
        <f t="shared" si="6"/>
        <v>48.388542652340547</v>
      </c>
      <c r="L51" s="87"/>
    </row>
    <row r="52" spans="1:12" s="88" customFormat="1" ht="17.100000000000001" customHeight="1" x14ac:dyDescent="0.25">
      <c r="A52" s="77"/>
      <c r="B52" s="78"/>
      <c r="C52" s="79" t="s">
        <v>123</v>
      </c>
      <c r="D52" s="80" t="s">
        <v>124</v>
      </c>
      <c r="E52" s="81">
        <v>1206384</v>
      </c>
      <c r="F52" s="82">
        <v>0</v>
      </c>
      <c r="G52" s="81">
        <v>1390894</v>
      </c>
      <c r="H52" s="82">
        <v>87018</v>
      </c>
      <c r="I52" s="83">
        <v>729732</v>
      </c>
      <c r="J52" s="84">
        <v>0</v>
      </c>
      <c r="K52" s="86">
        <f t="shared" si="6"/>
        <v>52.46496138454836</v>
      </c>
      <c r="L52" s="87">
        <f t="shared" si="7"/>
        <v>0</v>
      </c>
    </row>
    <row r="53" spans="1:12" s="88" customFormat="1" ht="17.100000000000001" customHeight="1" x14ac:dyDescent="0.25">
      <c r="A53" s="77"/>
      <c r="B53" s="78"/>
      <c r="C53" s="79" t="s">
        <v>125</v>
      </c>
      <c r="D53" s="80" t="s">
        <v>126</v>
      </c>
      <c r="E53" s="81">
        <v>1417350</v>
      </c>
      <c r="F53" s="82">
        <v>0</v>
      </c>
      <c r="G53" s="81">
        <v>1687626</v>
      </c>
      <c r="H53" s="82">
        <v>0</v>
      </c>
      <c r="I53" s="83">
        <v>901853</v>
      </c>
      <c r="J53" s="84">
        <v>0</v>
      </c>
      <c r="K53" s="86">
        <f t="shared" si="6"/>
        <v>53.439150617494633</v>
      </c>
      <c r="L53" s="87"/>
    </row>
    <row r="54" spans="1:12" s="88" customFormat="1" ht="17.100000000000001" customHeight="1" x14ac:dyDescent="0.25">
      <c r="A54" s="77"/>
      <c r="B54" s="78"/>
      <c r="C54" s="79" t="s">
        <v>127</v>
      </c>
      <c r="D54" s="80" t="s">
        <v>128</v>
      </c>
      <c r="E54" s="81">
        <v>1703555</v>
      </c>
      <c r="F54" s="82">
        <v>0</v>
      </c>
      <c r="G54" s="81">
        <v>2141968</v>
      </c>
      <c r="H54" s="82">
        <v>0</v>
      </c>
      <c r="I54" s="83">
        <v>998973</v>
      </c>
      <c r="J54" s="84">
        <v>0</v>
      </c>
      <c r="K54" s="86">
        <f t="shared" si="6"/>
        <v>46.63809169884891</v>
      </c>
      <c r="L54" s="87"/>
    </row>
    <row r="55" spans="1:12" s="88" customFormat="1" ht="17.100000000000001" customHeight="1" x14ac:dyDescent="0.25">
      <c r="A55" s="77"/>
      <c r="B55" s="78">
        <v>3</v>
      </c>
      <c r="C55" s="79"/>
      <c r="D55" s="80" t="s">
        <v>129</v>
      </c>
      <c r="E55" s="81"/>
      <c r="F55" s="82"/>
      <c r="G55" s="81"/>
      <c r="H55" s="82"/>
      <c r="I55" s="83"/>
      <c r="J55" s="84"/>
      <c r="K55" s="86"/>
      <c r="L55" s="87"/>
    </row>
    <row r="56" spans="1:12" s="88" customFormat="1" ht="17.100000000000001" customHeight="1" x14ac:dyDescent="0.25">
      <c r="A56" s="77"/>
      <c r="B56" s="78"/>
      <c r="C56" s="79" t="s">
        <v>72</v>
      </c>
      <c r="D56" s="80" t="s">
        <v>130</v>
      </c>
      <c r="E56" s="81">
        <v>246000</v>
      </c>
      <c r="F56" s="82">
        <v>938000</v>
      </c>
      <c r="G56" s="81">
        <v>234838</v>
      </c>
      <c r="H56" s="82">
        <v>1350560</v>
      </c>
      <c r="I56" s="83">
        <v>51047</v>
      </c>
      <c r="J56" s="84">
        <v>1085231</v>
      </c>
      <c r="K56" s="86">
        <f t="shared" si="6"/>
        <v>21.737112392372616</v>
      </c>
      <c r="L56" s="87">
        <f t="shared" si="7"/>
        <v>80.354149389882707</v>
      </c>
    </row>
    <row r="57" spans="1:12" s="88" customFormat="1" ht="17.100000000000001" customHeight="1" x14ac:dyDescent="0.25">
      <c r="A57" s="77"/>
      <c r="B57" s="78"/>
      <c r="C57" s="79" t="s">
        <v>77</v>
      </c>
      <c r="D57" s="80" t="s">
        <v>131</v>
      </c>
      <c r="E57" s="81">
        <v>0</v>
      </c>
      <c r="F57" s="82">
        <v>0</v>
      </c>
      <c r="G57" s="81">
        <v>0</v>
      </c>
      <c r="H57" s="82">
        <v>0</v>
      </c>
      <c r="I57" s="83">
        <v>0</v>
      </c>
      <c r="J57" s="84">
        <v>0</v>
      </c>
      <c r="K57" s="86"/>
      <c r="L57" s="87"/>
    </row>
    <row r="58" spans="1:12" s="88" customFormat="1" ht="17.100000000000001" customHeight="1" x14ac:dyDescent="0.25">
      <c r="A58" s="77"/>
      <c r="B58" s="78">
        <v>4</v>
      </c>
      <c r="C58" s="79"/>
      <c r="D58" s="80" t="s">
        <v>132</v>
      </c>
      <c r="E58" s="81">
        <v>390000</v>
      </c>
      <c r="F58" s="82">
        <v>0</v>
      </c>
      <c r="G58" s="81">
        <v>315900</v>
      </c>
      <c r="H58" s="82">
        <v>0</v>
      </c>
      <c r="I58" s="83">
        <v>48313</v>
      </c>
      <c r="J58" s="84">
        <v>0</v>
      </c>
      <c r="K58" s="86">
        <f t="shared" si="6"/>
        <v>15.293763849319406</v>
      </c>
      <c r="L58" s="87"/>
    </row>
    <row r="59" spans="1:12" ht="17.100000000000001" customHeight="1" x14ac:dyDescent="0.25">
      <c r="A59" s="77"/>
      <c r="B59" s="78">
        <v>5</v>
      </c>
      <c r="C59" s="79"/>
      <c r="D59" s="80" t="s">
        <v>133</v>
      </c>
      <c r="E59" s="81">
        <v>3350000</v>
      </c>
      <c r="F59" s="82">
        <v>0</v>
      </c>
      <c r="G59" s="81">
        <v>3428992</v>
      </c>
      <c r="H59" s="82">
        <v>0</v>
      </c>
      <c r="I59" s="83">
        <v>1225772</v>
      </c>
      <c r="J59" s="84">
        <v>0</v>
      </c>
      <c r="K59" s="86">
        <f t="shared" si="6"/>
        <v>35.747298331404679</v>
      </c>
      <c r="L59" s="87"/>
    </row>
    <row r="60" spans="1:12" ht="17.100000000000001" customHeight="1" x14ac:dyDescent="0.25">
      <c r="A60" s="77"/>
      <c r="B60" s="78">
        <v>6</v>
      </c>
      <c r="C60" s="79"/>
      <c r="D60" s="80" t="s">
        <v>134</v>
      </c>
      <c r="E60" s="81">
        <v>2377050</v>
      </c>
      <c r="F60" s="82">
        <v>0</v>
      </c>
      <c r="G60" s="81">
        <v>2686128</v>
      </c>
      <c r="H60" s="82">
        <v>0</v>
      </c>
      <c r="I60" s="83">
        <v>2209926</v>
      </c>
      <c r="J60" s="84">
        <v>0</v>
      </c>
      <c r="K60" s="86">
        <f t="shared" si="6"/>
        <v>82.271805364450245</v>
      </c>
      <c r="L60" s="87"/>
    </row>
    <row r="61" spans="1:12" ht="17.100000000000001" customHeight="1" x14ac:dyDescent="0.25">
      <c r="A61" s="77"/>
      <c r="B61" s="78">
        <v>7</v>
      </c>
      <c r="C61" s="79"/>
      <c r="D61" s="80" t="s">
        <v>135</v>
      </c>
      <c r="E61" s="81">
        <v>6595</v>
      </c>
      <c r="F61" s="82">
        <v>0</v>
      </c>
      <c r="G61" s="81">
        <v>6595</v>
      </c>
      <c r="H61" s="82">
        <v>0</v>
      </c>
      <c r="I61" s="83">
        <v>162</v>
      </c>
      <c r="J61" s="84">
        <v>0</v>
      </c>
      <c r="K61" s="86">
        <f t="shared" si="6"/>
        <v>2.4564063684609554</v>
      </c>
      <c r="L61" s="87"/>
    </row>
    <row r="62" spans="1:12" s="130" customFormat="1" ht="17.100000000000001" customHeight="1" x14ac:dyDescent="0.25">
      <c r="A62" s="77"/>
      <c r="B62" s="78">
        <v>8</v>
      </c>
      <c r="C62" s="79"/>
      <c r="D62" s="129" t="s">
        <v>136</v>
      </c>
      <c r="E62" s="81">
        <v>23000</v>
      </c>
      <c r="F62" s="82">
        <v>0</v>
      </c>
      <c r="G62" s="81">
        <v>23000</v>
      </c>
      <c r="H62" s="82">
        <v>0</v>
      </c>
      <c r="I62" s="83">
        <v>5682</v>
      </c>
      <c r="J62" s="84">
        <v>0</v>
      </c>
      <c r="K62" s="86">
        <f t="shared" si="6"/>
        <v>24.704347826086956</v>
      </c>
      <c r="L62" s="87"/>
    </row>
    <row r="63" spans="1:12" ht="17.100000000000001" customHeight="1" x14ac:dyDescent="0.25">
      <c r="A63" s="93" t="s">
        <v>104</v>
      </c>
      <c r="B63" s="94"/>
      <c r="C63" s="95"/>
      <c r="D63" s="96" t="s">
        <v>137</v>
      </c>
      <c r="E63" s="97">
        <f>SUM(E42:E62)</f>
        <v>36470328</v>
      </c>
      <c r="F63" s="98">
        <f>SUM(F41:F62)</f>
        <v>938000</v>
      </c>
      <c r="G63" s="97">
        <f>SUM(G42:G62)</f>
        <v>40461197</v>
      </c>
      <c r="H63" s="98">
        <f>SUM(H41:H62)</f>
        <v>1485529</v>
      </c>
      <c r="I63" s="97">
        <f>SUM(I42:I62)</f>
        <v>19054229</v>
      </c>
      <c r="J63" s="98">
        <f>SUM(J41:J62)</f>
        <v>1117891</v>
      </c>
      <c r="K63" s="99">
        <f t="shared" si="6"/>
        <v>47.092598372707563</v>
      </c>
      <c r="L63" s="100">
        <f t="shared" si="7"/>
        <v>75.252048260249381</v>
      </c>
    </row>
    <row r="64" spans="1:12" ht="17.100000000000001" customHeight="1" x14ac:dyDescent="0.25">
      <c r="A64" s="101" t="s">
        <v>117</v>
      </c>
      <c r="B64" s="102"/>
      <c r="C64" s="103"/>
      <c r="D64" s="104" t="s">
        <v>138</v>
      </c>
      <c r="E64" s="105"/>
      <c r="F64" s="106"/>
      <c r="G64" s="105"/>
      <c r="H64" s="106"/>
      <c r="I64" s="105"/>
      <c r="J64" s="106"/>
      <c r="K64" s="107"/>
      <c r="L64" s="108"/>
    </row>
    <row r="65" spans="1:12" ht="17.100000000000001" customHeight="1" x14ac:dyDescent="0.25">
      <c r="A65" s="77"/>
      <c r="B65" s="78">
        <v>1</v>
      </c>
      <c r="C65" s="79"/>
      <c r="D65" s="80" t="s">
        <v>139</v>
      </c>
      <c r="E65" s="81">
        <v>845000</v>
      </c>
      <c r="F65" s="82">
        <v>0</v>
      </c>
      <c r="G65" s="81">
        <v>863518</v>
      </c>
      <c r="H65" s="82">
        <v>0</v>
      </c>
      <c r="I65" s="83">
        <v>363789</v>
      </c>
      <c r="J65" s="84">
        <v>0</v>
      </c>
      <c r="K65" s="86">
        <f t="shared" si="6"/>
        <v>42.128710692770738</v>
      </c>
      <c r="L65" s="87"/>
    </row>
    <row r="66" spans="1:12" ht="17.100000000000001" customHeight="1" x14ac:dyDescent="0.25">
      <c r="A66" s="77"/>
      <c r="B66" s="78">
        <v>2</v>
      </c>
      <c r="C66" s="79"/>
      <c r="D66" s="80" t="s">
        <v>140</v>
      </c>
      <c r="E66" s="81">
        <v>1826000</v>
      </c>
      <c r="F66" s="82">
        <v>0</v>
      </c>
      <c r="G66" s="81">
        <v>1834168</v>
      </c>
      <c r="H66" s="82">
        <v>0</v>
      </c>
      <c r="I66" s="83">
        <v>847555</v>
      </c>
      <c r="J66" s="84">
        <v>0</v>
      </c>
      <c r="K66" s="86">
        <f t="shared" si="6"/>
        <v>46.209234922864205</v>
      </c>
      <c r="L66" s="87"/>
    </row>
    <row r="67" spans="1:12" s="88" customFormat="1" ht="17.100000000000001" customHeight="1" x14ac:dyDescent="0.25">
      <c r="A67" s="77"/>
      <c r="B67" s="78">
        <v>3</v>
      </c>
      <c r="C67" s="79"/>
      <c r="D67" s="80" t="s">
        <v>141</v>
      </c>
      <c r="E67" s="81">
        <v>346000</v>
      </c>
      <c r="F67" s="82">
        <v>0</v>
      </c>
      <c r="G67" s="81">
        <v>368039</v>
      </c>
      <c r="H67" s="82">
        <v>15371</v>
      </c>
      <c r="I67" s="83">
        <v>145758.04</v>
      </c>
      <c r="J67" s="84">
        <v>3571</v>
      </c>
      <c r="K67" s="86">
        <f t="shared" si="6"/>
        <v>39.603965884050332</v>
      </c>
      <c r="L67" s="87">
        <f t="shared" si="7"/>
        <v>23.232060373430485</v>
      </c>
    </row>
    <row r="68" spans="1:12" s="88" customFormat="1" ht="17.100000000000001" customHeight="1" x14ac:dyDescent="0.25">
      <c r="A68" s="77"/>
      <c r="B68" s="78">
        <v>4</v>
      </c>
      <c r="C68" s="79"/>
      <c r="D68" s="80" t="s">
        <v>142</v>
      </c>
      <c r="E68" s="81"/>
      <c r="F68" s="82"/>
      <c r="G68" s="81"/>
      <c r="H68" s="82"/>
      <c r="I68" s="83"/>
      <c r="J68" s="84"/>
      <c r="K68" s="86"/>
      <c r="L68" s="87"/>
    </row>
    <row r="69" spans="1:12" ht="17.100000000000001" customHeight="1" x14ac:dyDescent="0.25">
      <c r="A69" s="77"/>
      <c r="B69" s="78"/>
      <c r="C69" s="79" t="s">
        <v>72</v>
      </c>
      <c r="D69" s="80" t="s">
        <v>143</v>
      </c>
      <c r="E69" s="81">
        <v>65000</v>
      </c>
      <c r="F69" s="82">
        <v>0</v>
      </c>
      <c r="G69" s="81">
        <v>117490</v>
      </c>
      <c r="H69" s="82">
        <v>1900</v>
      </c>
      <c r="I69" s="83">
        <v>7621</v>
      </c>
      <c r="J69" s="84">
        <v>1900</v>
      </c>
      <c r="K69" s="86">
        <f t="shared" si="6"/>
        <v>6.4865094901693761</v>
      </c>
      <c r="L69" s="87">
        <f t="shared" si="7"/>
        <v>100</v>
      </c>
    </row>
    <row r="70" spans="1:12" ht="17.100000000000001" customHeight="1" x14ac:dyDescent="0.25">
      <c r="A70" s="77"/>
      <c r="B70" s="78"/>
      <c r="C70" s="79" t="s">
        <v>77</v>
      </c>
      <c r="D70" s="80" t="s">
        <v>144</v>
      </c>
      <c r="E70" s="81">
        <v>200000</v>
      </c>
      <c r="F70" s="82">
        <v>1328000</v>
      </c>
      <c r="G70" s="81">
        <v>200000</v>
      </c>
      <c r="H70" s="82">
        <v>1328000</v>
      </c>
      <c r="I70" s="83">
        <v>7056</v>
      </c>
      <c r="J70" s="84">
        <v>202820</v>
      </c>
      <c r="K70" s="86">
        <f t="shared" si="6"/>
        <v>3.528</v>
      </c>
      <c r="L70" s="87">
        <f t="shared" si="7"/>
        <v>15.272590361445785</v>
      </c>
    </row>
    <row r="71" spans="1:12" ht="17.100000000000001" customHeight="1" x14ac:dyDescent="0.25">
      <c r="A71" s="131"/>
      <c r="B71" s="132"/>
      <c r="C71" s="133" t="s">
        <v>79</v>
      </c>
      <c r="D71" s="134" t="s">
        <v>145</v>
      </c>
      <c r="E71" s="135">
        <v>15000</v>
      </c>
      <c r="F71" s="136">
        <v>0</v>
      </c>
      <c r="G71" s="135">
        <v>28000</v>
      </c>
      <c r="H71" s="136">
        <v>0</v>
      </c>
      <c r="I71" s="137">
        <v>15000</v>
      </c>
      <c r="J71" s="138">
        <v>0</v>
      </c>
      <c r="K71" s="139">
        <f t="shared" si="6"/>
        <v>53.571428571428569</v>
      </c>
      <c r="L71" s="140"/>
    </row>
    <row r="72" spans="1:12" ht="17.100000000000001" customHeight="1" thickBot="1" x14ac:dyDescent="0.3">
      <c r="A72" s="110" t="s">
        <v>117</v>
      </c>
      <c r="B72" s="111"/>
      <c r="C72" s="112"/>
      <c r="D72" s="113" t="s">
        <v>146</v>
      </c>
      <c r="E72" s="114">
        <f t="shared" ref="E72:F72" si="8">SUM(E65:E71)</f>
        <v>3297000</v>
      </c>
      <c r="F72" s="115">
        <f t="shared" si="8"/>
        <v>1328000</v>
      </c>
      <c r="G72" s="114">
        <f t="shared" ref="G72:J72" si="9">SUM(G65:G71)</f>
        <v>3411215</v>
      </c>
      <c r="H72" s="115">
        <f t="shared" si="9"/>
        <v>1345271</v>
      </c>
      <c r="I72" s="114">
        <f t="shared" si="9"/>
        <v>1386779.04</v>
      </c>
      <c r="J72" s="115">
        <f t="shared" si="9"/>
        <v>208291</v>
      </c>
      <c r="K72" s="116">
        <f t="shared" si="6"/>
        <v>40.65352198556819</v>
      </c>
      <c r="L72" s="117">
        <f t="shared" si="7"/>
        <v>15.483200039248599</v>
      </c>
    </row>
    <row r="73" spans="1:12" s="88" customFormat="1" ht="6" customHeight="1" x14ac:dyDescent="0.25">
      <c r="A73" s="118"/>
      <c r="B73" s="119"/>
      <c r="C73" s="118"/>
      <c r="D73" s="120"/>
      <c r="E73" s="121"/>
      <c r="F73" s="121"/>
      <c r="G73" s="121"/>
      <c r="H73" s="121"/>
      <c r="I73" s="121"/>
      <c r="J73" s="121"/>
      <c r="K73" s="121"/>
      <c r="L73" s="121"/>
    </row>
    <row r="74" spans="1:12" ht="20.25" x14ac:dyDescent="0.3">
      <c r="A74" s="545" t="s">
        <v>66</v>
      </c>
      <c r="B74" s="545"/>
      <c r="C74" s="545"/>
      <c r="D74" s="545"/>
      <c r="E74" s="545"/>
      <c r="F74" s="545"/>
      <c r="G74" s="545"/>
      <c r="H74" s="545"/>
      <c r="I74" s="545"/>
      <c r="J74" s="545"/>
      <c r="K74" s="545"/>
      <c r="L74" s="545"/>
    </row>
    <row r="75" spans="1:12" ht="26.25" thickBot="1" x14ac:dyDescent="0.3">
      <c r="A75" s="141"/>
      <c r="B75" s="142"/>
      <c r="C75" s="141"/>
      <c r="D75" s="143"/>
      <c r="E75" s="123"/>
      <c r="F75" s="2"/>
      <c r="G75" s="123"/>
      <c r="H75" s="2"/>
      <c r="I75" s="123"/>
      <c r="J75" s="2"/>
      <c r="K75" s="123"/>
      <c r="L75" s="189" t="s">
        <v>147</v>
      </c>
    </row>
    <row r="76" spans="1:12" ht="27.75" customHeight="1" thickBot="1" x14ac:dyDescent="0.25">
      <c r="A76" s="546" t="s">
        <v>68</v>
      </c>
      <c r="B76" s="547"/>
      <c r="C76" s="548"/>
      <c r="D76" s="552" t="s">
        <v>69</v>
      </c>
      <c r="E76" s="543" t="s">
        <v>2</v>
      </c>
      <c r="F76" s="544"/>
      <c r="G76" s="543" t="s">
        <v>65</v>
      </c>
      <c r="H76" s="544"/>
      <c r="I76" s="543" t="s">
        <v>60</v>
      </c>
      <c r="J76" s="544"/>
      <c r="K76" s="543" t="s">
        <v>61</v>
      </c>
      <c r="L76" s="544"/>
    </row>
    <row r="77" spans="1:12" ht="33" customHeight="1" thickBot="1" x14ac:dyDescent="0.25">
      <c r="A77" s="549"/>
      <c r="B77" s="550"/>
      <c r="C77" s="551"/>
      <c r="D77" s="553"/>
      <c r="E77" s="69" t="s">
        <v>70</v>
      </c>
      <c r="F77" s="70" t="s">
        <v>71</v>
      </c>
      <c r="G77" s="69" t="s">
        <v>70</v>
      </c>
      <c r="H77" s="70" t="s">
        <v>71</v>
      </c>
      <c r="I77" s="69" t="s">
        <v>70</v>
      </c>
      <c r="J77" s="70" t="s">
        <v>71</v>
      </c>
      <c r="K77" s="69" t="s">
        <v>70</v>
      </c>
      <c r="L77" s="70" t="s">
        <v>71</v>
      </c>
    </row>
    <row r="78" spans="1:12" ht="17.100000000000001" customHeight="1" x14ac:dyDescent="0.25">
      <c r="A78" s="71" t="s">
        <v>119</v>
      </c>
      <c r="B78" s="72"/>
      <c r="C78" s="73"/>
      <c r="D78" s="74" t="s">
        <v>148</v>
      </c>
      <c r="E78" s="75"/>
      <c r="F78" s="76"/>
      <c r="G78" s="75"/>
      <c r="H78" s="76"/>
      <c r="I78" s="75"/>
      <c r="J78" s="76"/>
      <c r="K78" s="75"/>
      <c r="L78" s="76"/>
    </row>
    <row r="79" spans="1:12" s="109" customFormat="1" ht="17.45" customHeight="1" x14ac:dyDescent="0.25">
      <c r="A79" s="77"/>
      <c r="B79" s="78">
        <v>1</v>
      </c>
      <c r="C79" s="79"/>
      <c r="D79" s="80" t="s">
        <v>149</v>
      </c>
      <c r="E79" s="81">
        <v>387569</v>
      </c>
      <c r="F79" s="82">
        <v>0</v>
      </c>
      <c r="G79" s="81">
        <v>433069</v>
      </c>
      <c r="H79" s="82">
        <v>60661</v>
      </c>
      <c r="I79" s="83">
        <v>160100</v>
      </c>
      <c r="J79" s="84">
        <v>60660</v>
      </c>
      <c r="K79" s="86">
        <f t="shared" ref="K79:K109" si="10">I79/G79*100</f>
        <v>36.96870475605504</v>
      </c>
      <c r="L79" s="87">
        <f t="shared" ref="L79:L103" si="11">J79/H79*100</f>
        <v>99.998351494370354</v>
      </c>
    </row>
    <row r="80" spans="1:12" s="88" customFormat="1" ht="17.45" customHeight="1" x14ac:dyDescent="0.25">
      <c r="A80" s="77"/>
      <c r="B80" s="78">
        <v>2</v>
      </c>
      <c r="C80" s="79"/>
      <c r="D80" s="80" t="s">
        <v>150</v>
      </c>
      <c r="E80" s="81"/>
      <c r="F80" s="82"/>
      <c r="G80" s="81"/>
      <c r="H80" s="82"/>
      <c r="I80" s="83"/>
      <c r="J80" s="84"/>
      <c r="K80" s="86"/>
      <c r="L80" s="87"/>
    </row>
    <row r="81" spans="1:12" s="88" customFormat="1" ht="17.45" customHeight="1" x14ac:dyDescent="0.25">
      <c r="A81" s="77"/>
      <c r="B81" s="78"/>
      <c r="C81" s="79" t="s">
        <v>72</v>
      </c>
      <c r="D81" s="80" t="s">
        <v>151</v>
      </c>
      <c r="E81" s="81">
        <v>36000</v>
      </c>
      <c r="F81" s="82">
        <v>0</v>
      </c>
      <c r="G81" s="81">
        <v>36000</v>
      </c>
      <c r="H81" s="82">
        <v>0</v>
      </c>
      <c r="I81" s="83">
        <v>7331</v>
      </c>
      <c r="J81" s="84">
        <v>0</v>
      </c>
      <c r="K81" s="86">
        <f t="shared" si="10"/>
        <v>20.363888888888891</v>
      </c>
      <c r="L81" s="87"/>
    </row>
    <row r="82" spans="1:12" s="88" customFormat="1" ht="17.45" customHeight="1" x14ac:dyDescent="0.25">
      <c r="A82" s="77"/>
      <c r="B82" s="78"/>
      <c r="C82" s="79" t="s">
        <v>77</v>
      </c>
      <c r="D82" s="80" t="s">
        <v>152</v>
      </c>
      <c r="E82" s="81">
        <v>70000</v>
      </c>
      <c r="F82" s="82">
        <v>0</v>
      </c>
      <c r="G82" s="81">
        <v>70000</v>
      </c>
      <c r="H82" s="82">
        <v>0</v>
      </c>
      <c r="I82" s="83">
        <v>9294</v>
      </c>
      <c r="J82" s="84">
        <v>0</v>
      </c>
      <c r="K82" s="86">
        <f t="shared" si="10"/>
        <v>13.277142857142858</v>
      </c>
      <c r="L82" s="87"/>
    </row>
    <row r="83" spans="1:12" s="88" customFormat="1" ht="17.45" customHeight="1" x14ac:dyDescent="0.25">
      <c r="A83" s="77"/>
      <c r="B83" s="78">
        <v>3</v>
      </c>
      <c r="C83" s="79"/>
      <c r="D83" s="80" t="s">
        <v>153</v>
      </c>
      <c r="E83" s="81"/>
      <c r="F83" s="82"/>
      <c r="G83" s="81"/>
      <c r="H83" s="82"/>
      <c r="I83" s="83"/>
      <c r="J83" s="84"/>
      <c r="K83" s="86"/>
      <c r="L83" s="87"/>
    </row>
    <row r="84" spans="1:12" ht="17.45" customHeight="1" x14ac:dyDescent="0.25">
      <c r="A84" s="77"/>
      <c r="B84" s="78"/>
      <c r="C84" s="79" t="s">
        <v>72</v>
      </c>
      <c r="D84" s="80" t="s">
        <v>154</v>
      </c>
      <c r="E84" s="81">
        <v>863940</v>
      </c>
      <c r="F84" s="82">
        <v>290000</v>
      </c>
      <c r="G84" s="81">
        <v>815380</v>
      </c>
      <c r="H84" s="82">
        <v>290000</v>
      </c>
      <c r="I84" s="83">
        <v>379820</v>
      </c>
      <c r="J84" s="84">
        <v>132.54</v>
      </c>
      <c r="K84" s="86">
        <f t="shared" si="10"/>
        <v>46.581961784689348</v>
      </c>
      <c r="L84" s="87">
        <f t="shared" si="11"/>
        <v>4.5703448275862063E-2</v>
      </c>
    </row>
    <row r="85" spans="1:12" ht="17.45" customHeight="1" x14ac:dyDescent="0.25">
      <c r="A85" s="77"/>
      <c r="B85" s="78"/>
      <c r="C85" s="79" t="s">
        <v>77</v>
      </c>
      <c r="D85" s="80" t="s">
        <v>155</v>
      </c>
      <c r="E85" s="81">
        <v>49250</v>
      </c>
      <c r="F85" s="82">
        <v>0</v>
      </c>
      <c r="G85" s="81">
        <v>49250</v>
      </c>
      <c r="H85" s="82">
        <v>0</v>
      </c>
      <c r="I85" s="83">
        <v>12239</v>
      </c>
      <c r="J85" s="84"/>
      <c r="K85" s="86">
        <f t="shared" si="10"/>
        <v>24.850761421319799</v>
      </c>
      <c r="L85" s="87"/>
    </row>
    <row r="86" spans="1:12" ht="17.45" customHeight="1" x14ac:dyDescent="0.25">
      <c r="A86" s="77"/>
      <c r="B86" s="78"/>
      <c r="C86" s="79" t="s">
        <v>79</v>
      </c>
      <c r="D86" s="80" t="s">
        <v>156</v>
      </c>
      <c r="E86" s="81">
        <v>0</v>
      </c>
      <c r="F86" s="82">
        <v>15000</v>
      </c>
      <c r="G86" s="81">
        <v>0</v>
      </c>
      <c r="H86" s="82">
        <v>15000</v>
      </c>
      <c r="I86" s="83">
        <v>0</v>
      </c>
      <c r="J86" s="84">
        <v>0</v>
      </c>
      <c r="K86" s="86"/>
      <c r="L86" s="87">
        <f t="shared" si="11"/>
        <v>0</v>
      </c>
    </row>
    <row r="87" spans="1:12" ht="17.45" customHeight="1" x14ac:dyDescent="0.25">
      <c r="A87" s="77"/>
      <c r="B87" s="78"/>
      <c r="C87" s="79" t="s">
        <v>97</v>
      </c>
      <c r="D87" s="80" t="s">
        <v>157</v>
      </c>
      <c r="E87" s="81">
        <v>25000</v>
      </c>
      <c r="F87" s="82">
        <v>0</v>
      </c>
      <c r="G87" s="81">
        <v>75000</v>
      </c>
      <c r="H87" s="82">
        <v>0</v>
      </c>
      <c r="I87" s="83">
        <v>50987</v>
      </c>
      <c r="J87" s="84">
        <v>0</v>
      </c>
      <c r="K87" s="86">
        <f t="shared" si="10"/>
        <v>67.982666666666674</v>
      </c>
      <c r="L87" s="87"/>
    </row>
    <row r="88" spans="1:12" ht="17.45" customHeight="1" x14ac:dyDescent="0.25">
      <c r="A88" s="77"/>
      <c r="B88" s="78">
        <v>4</v>
      </c>
      <c r="C88" s="79"/>
      <c r="D88" s="80" t="s">
        <v>158</v>
      </c>
      <c r="E88" s="81"/>
      <c r="F88" s="82"/>
      <c r="G88" s="81"/>
      <c r="H88" s="82"/>
      <c r="I88" s="83"/>
      <c r="J88" s="84"/>
      <c r="K88" s="86"/>
      <c r="L88" s="87"/>
    </row>
    <row r="89" spans="1:12" ht="17.45" customHeight="1" x14ac:dyDescent="0.25">
      <c r="A89" s="77"/>
      <c r="B89" s="78"/>
      <c r="C89" s="79" t="s">
        <v>72</v>
      </c>
      <c r="D89" s="80" t="s">
        <v>159</v>
      </c>
      <c r="E89" s="81">
        <v>168260</v>
      </c>
      <c r="F89" s="82">
        <v>0</v>
      </c>
      <c r="G89" s="81">
        <v>270260</v>
      </c>
      <c r="H89" s="82">
        <v>100000</v>
      </c>
      <c r="I89" s="83">
        <v>67657</v>
      </c>
      <c r="J89" s="84">
        <v>24620.76</v>
      </c>
      <c r="K89" s="86">
        <f t="shared" si="10"/>
        <v>25.034041293569153</v>
      </c>
      <c r="L89" s="87">
        <f t="shared" si="11"/>
        <v>24.620759999999997</v>
      </c>
    </row>
    <row r="90" spans="1:12" ht="17.45" customHeight="1" x14ac:dyDescent="0.25">
      <c r="A90" s="77"/>
      <c r="B90" s="78"/>
      <c r="C90" s="79" t="s">
        <v>77</v>
      </c>
      <c r="D90" s="80" t="s">
        <v>160</v>
      </c>
      <c r="E90" s="81">
        <v>220000</v>
      </c>
      <c r="F90" s="82">
        <v>0</v>
      </c>
      <c r="G90" s="81">
        <v>220000</v>
      </c>
      <c r="H90" s="82">
        <v>0</v>
      </c>
      <c r="I90" s="83">
        <v>167173</v>
      </c>
      <c r="J90" s="84">
        <v>0</v>
      </c>
      <c r="K90" s="86">
        <f t="shared" si="10"/>
        <v>75.98772727272727</v>
      </c>
      <c r="L90" s="87"/>
    </row>
    <row r="91" spans="1:12" ht="17.45" customHeight="1" x14ac:dyDescent="0.25">
      <c r="A91" s="93" t="s">
        <v>119</v>
      </c>
      <c r="B91" s="94"/>
      <c r="C91" s="95"/>
      <c r="D91" s="96" t="s">
        <v>161</v>
      </c>
      <c r="E91" s="144">
        <f t="shared" ref="E91:J91" si="12">SUM(E79:E90)</f>
        <v>1820019</v>
      </c>
      <c r="F91" s="145">
        <f t="shared" si="12"/>
        <v>305000</v>
      </c>
      <c r="G91" s="144">
        <f t="shared" si="12"/>
        <v>1968959</v>
      </c>
      <c r="H91" s="145">
        <f t="shared" si="12"/>
        <v>465661</v>
      </c>
      <c r="I91" s="144">
        <f t="shared" si="12"/>
        <v>854601</v>
      </c>
      <c r="J91" s="145">
        <f t="shared" si="12"/>
        <v>85413.3</v>
      </c>
      <c r="K91" s="146">
        <f t="shared" si="10"/>
        <v>43.4036970805385</v>
      </c>
      <c r="L91" s="147">
        <f t="shared" si="11"/>
        <v>18.342377824211177</v>
      </c>
    </row>
    <row r="92" spans="1:12" ht="17.45" customHeight="1" x14ac:dyDescent="0.25">
      <c r="A92" s="101" t="s">
        <v>121</v>
      </c>
      <c r="B92" s="102"/>
      <c r="C92" s="103"/>
      <c r="D92" s="104" t="s">
        <v>162</v>
      </c>
      <c r="E92" s="105"/>
      <c r="F92" s="106"/>
      <c r="G92" s="105"/>
      <c r="H92" s="106"/>
      <c r="I92" s="105"/>
      <c r="J92" s="106"/>
      <c r="K92" s="107"/>
      <c r="L92" s="108"/>
    </row>
    <row r="93" spans="1:12" ht="17.45" customHeight="1" x14ac:dyDescent="0.25">
      <c r="A93" s="77"/>
      <c r="B93" s="78">
        <v>1</v>
      </c>
      <c r="C93" s="79"/>
      <c r="D93" s="80" t="s">
        <v>163</v>
      </c>
      <c r="E93" s="81">
        <v>40000</v>
      </c>
      <c r="F93" s="82">
        <v>20500</v>
      </c>
      <c r="G93" s="81">
        <v>40000</v>
      </c>
      <c r="H93" s="82">
        <v>20500</v>
      </c>
      <c r="I93" s="83">
        <v>420</v>
      </c>
      <c r="J93" s="84">
        <v>0</v>
      </c>
      <c r="K93" s="86">
        <f t="shared" si="10"/>
        <v>1.05</v>
      </c>
      <c r="L93" s="87">
        <f t="shared" si="11"/>
        <v>0</v>
      </c>
    </row>
    <row r="94" spans="1:12" ht="17.45" customHeight="1" x14ac:dyDescent="0.25">
      <c r="A94" s="77"/>
      <c r="B94" s="78">
        <v>2</v>
      </c>
      <c r="C94" s="79"/>
      <c r="D94" s="80" t="s">
        <v>164</v>
      </c>
      <c r="E94" s="81"/>
      <c r="F94" s="82"/>
      <c r="G94" s="81"/>
      <c r="H94" s="82"/>
      <c r="I94" s="83"/>
      <c r="J94" s="84"/>
      <c r="K94" s="86"/>
      <c r="L94" s="87"/>
    </row>
    <row r="95" spans="1:12" ht="17.45" customHeight="1" x14ac:dyDescent="0.25">
      <c r="A95" s="77"/>
      <c r="B95" s="78"/>
      <c r="C95" s="79" t="s">
        <v>72</v>
      </c>
      <c r="D95" s="80" t="s">
        <v>165</v>
      </c>
      <c r="E95" s="81">
        <v>53328</v>
      </c>
      <c r="F95" s="82">
        <v>0</v>
      </c>
      <c r="G95" s="81">
        <v>53328</v>
      </c>
      <c r="H95" s="82">
        <v>0</v>
      </c>
      <c r="I95" s="83">
        <v>11162</v>
      </c>
      <c r="J95" s="84">
        <v>0</v>
      </c>
      <c r="K95" s="86">
        <f t="shared" si="10"/>
        <v>20.930843084308432</v>
      </c>
      <c r="L95" s="87"/>
    </row>
    <row r="96" spans="1:12" ht="17.45" customHeight="1" x14ac:dyDescent="0.25">
      <c r="A96" s="77"/>
      <c r="B96" s="78"/>
      <c r="C96" s="79" t="s">
        <v>77</v>
      </c>
      <c r="D96" s="80" t="s">
        <v>166</v>
      </c>
      <c r="E96" s="81">
        <v>7520</v>
      </c>
      <c r="F96" s="82">
        <v>0</v>
      </c>
      <c r="G96" s="81">
        <v>7520</v>
      </c>
      <c r="H96" s="82">
        <v>0</v>
      </c>
      <c r="I96" s="83">
        <v>500</v>
      </c>
      <c r="J96" s="84">
        <v>0</v>
      </c>
      <c r="K96" s="86">
        <f t="shared" si="10"/>
        <v>6.6489361702127656</v>
      </c>
      <c r="L96" s="87"/>
    </row>
    <row r="97" spans="1:12" ht="17.45" customHeight="1" x14ac:dyDescent="0.25">
      <c r="A97" s="77"/>
      <c r="B97" s="78"/>
      <c r="C97" s="79" t="s">
        <v>79</v>
      </c>
      <c r="D97" s="80" t="s">
        <v>167</v>
      </c>
      <c r="E97" s="81">
        <v>6492</v>
      </c>
      <c r="F97" s="82">
        <v>0</v>
      </c>
      <c r="G97" s="81">
        <v>6492</v>
      </c>
      <c r="H97" s="82">
        <v>0</v>
      </c>
      <c r="I97" s="83">
        <v>629.91</v>
      </c>
      <c r="J97" s="84">
        <v>0</v>
      </c>
      <c r="K97" s="86">
        <f t="shared" si="10"/>
        <v>9.7028650646950076</v>
      </c>
      <c r="L97" s="87"/>
    </row>
    <row r="98" spans="1:12" ht="17.45" customHeight="1" x14ac:dyDescent="0.25">
      <c r="A98" s="93" t="s">
        <v>121</v>
      </c>
      <c r="B98" s="94"/>
      <c r="C98" s="95"/>
      <c r="D98" s="96" t="s">
        <v>168</v>
      </c>
      <c r="E98" s="97">
        <f t="shared" ref="E98:J98" si="13">SUM(E93:E97)</f>
        <v>107340</v>
      </c>
      <c r="F98" s="98">
        <f t="shared" si="13"/>
        <v>20500</v>
      </c>
      <c r="G98" s="97">
        <f t="shared" si="13"/>
        <v>107340</v>
      </c>
      <c r="H98" s="98">
        <f t="shared" si="13"/>
        <v>20500</v>
      </c>
      <c r="I98" s="97">
        <f t="shared" si="13"/>
        <v>12711.91</v>
      </c>
      <c r="J98" s="98">
        <f t="shared" si="13"/>
        <v>0</v>
      </c>
      <c r="K98" s="99">
        <f t="shared" si="10"/>
        <v>11.842658841065772</v>
      </c>
      <c r="L98" s="100">
        <f t="shared" si="11"/>
        <v>0</v>
      </c>
    </row>
    <row r="99" spans="1:12" s="88" customFormat="1" ht="17.45" customHeight="1" x14ac:dyDescent="0.25">
      <c r="A99" s="101" t="s">
        <v>123</v>
      </c>
      <c r="B99" s="102"/>
      <c r="C99" s="103"/>
      <c r="D99" s="104" t="s">
        <v>169</v>
      </c>
      <c r="E99" s="105"/>
      <c r="F99" s="106"/>
      <c r="G99" s="105"/>
      <c r="H99" s="106"/>
      <c r="I99" s="105"/>
      <c r="J99" s="106"/>
      <c r="K99" s="107"/>
      <c r="L99" s="108"/>
    </row>
    <row r="100" spans="1:12" s="88" customFormat="1" ht="17.45" customHeight="1" x14ac:dyDescent="0.25">
      <c r="A100" s="77"/>
      <c r="B100" s="78">
        <v>1</v>
      </c>
      <c r="C100" s="79"/>
      <c r="D100" s="80" t="s">
        <v>170</v>
      </c>
      <c r="E100" s="81">
        <v>705000</v>
      </c>
      <c r="F100" s="82">
        <v>0</v>
      </c>
      <c r="G100" s="81">
        <v>705000</v>
      </c>
      <c r="H100" s="82">
        <v>0</v>
      </c>
      <c r="I100" s="83">
        <v>266562.34000000003</v>
      </c>
      <c r="J100" s="84">
        <v>0</v>
      </c>
      <c r="K100" s="86">
        <f t="shared" si="10"/>
        <v>37.810260992907807</v>
      </c>
      <c r="L100" s="87"/>
    </row>
    <row r="101" spans="1:12" ht="17.45" customHeight="1" x14ac:dyDescent="0.25">
      <c r="A101" s="77"/>
      <c r="B101" s="78">
        <v>2</v>
      </c>
      <c r="C101" s="79"/>
      <c r="D101" s="80" t="s">
        <v>171</v>
      </c>
      <c r="E101" s="81">
        <v>195900</v>
      </c>
      <c r="F101" s="82">
        <v>0</v>
      </c>
      <c r="G101" s="81">
        <v>195900</v>
      </c>
      <c r="H101" s="82">
        <v>0</v>
      </c>
      <c r="I101" s="83">
        <v>74708.820000000007</v>
      </c>
      <c r="J101" s="84">
        <v>0</v>
      </c>
      <c r="K101" s="86">
        <f t="shared" si="10"/>
        <v>38.136202143950996</v>
      </c>
      <c r="L101" s="87"/>
    </row>
    <row r="102" spans="1:12" ht="17.45" customHeight="1" x14ac:dyDescent="0.25">
      <c r="A102" s="77"/>
      <c r="B102" s="78">
        <v>3</v>
      </c>
      <c r="C102" s="79"/>
      <c r="D102" s="80" t="s">
        <v>172</v>
      </c>
      <c r="E102" s="81">
        <v>400000</v>
      </c>
      <c r="F102" s="82">
        <v>2180678</v>
      </c>
      <c r="G102" s="81">
        <v>586000</v>
      </c>
      <c r="H102" s="82">
        <v>2210814</v>
      </c>
      <c r="I102" s="83">
        <v>165242.74</v>
      </c>
      <c r="J102" s="84">
        <v>1554352.4</v>
      </c>
      <c r="K102" s="86">
        <f t="shared" si="10"/>
        <v>28.198419795221842</v>
      </c>
      <c r="L102" s="87">
        <f t="shared" si="11"/>
        <v>70.30679197797734</v>
      </c>
    </row>
    <row r="103" spans="1:12" ht="17.45" customHeight="1" x14ac:dyDescent="0.25">
      <c r="A103" s="93" t="s">
        <v>123</v>
      </c>
      <c r="B103" s="94"/>
      <c r="C103" s="95"/>
      <c r="D103" s="96" t="s">
        <v>173</v>
      </c>
      <c r="E103" s="97">
        <f t="shared" ref="E103:J103" si="14">SUM(E100:E102)</f>
        <v>1300900</v>
      </c>
      <c r="F103" s="98">
        <f t="shared" si="14"/>
        <v>2180678</v>
      </c>
      <c r="G103" s="97">
        <f t="shared" si="14"/>
        <v>1486900</v>
      </c>
      <c r="H103" s="98">
        <f t="shared" si="14"/>
        <v>2210814</v>
      </c>
      <c r="I103" s="97">
        <f t="shared" si="14"/>
        <v>506513.9</v>
      </c>
      <c r="J103" s="98">
        <f t="shared" si="14"/>
        <v>1554352.4</v>
      </c>
      <c r="K103" s="99">
        <f t="shared" si="10"/>
        <v>34.065095164436073</v>
      </c>
      <c r="L103" s="100">
        <f t="shared" si="11"/>
        <v>70.30679197797734</v>
      </c>
    </row>
    <row r="104" spans="1:12" ht="17.100000000000001" customHeight="1" x14ac:dyDescent="0.25">
      <c r="A104" s="101" t="s">
        <v>125</v>
      </c>
      <c r="B104" s="102"/>
      <c r="C104" s="103"/>
      <c r="D104" s="104" t="s">
        <v>174</v>
      </c>
      <c r="E104" s="105"/>
      <c r="F104" s="106"/>
      <c r="G104" s="105"/>
      <c r="H104" s="106"/>
      <c r="I104" s="105"/>
      <c r="J104" s="106"/>
      <c r="K104" s="107"/>
      <c r="L104" s="108"/>
    </row>
    <row r="105" spans="1:12" ht="17.100000000000001" customHeight="1" x14ac:dyDescent="0.25">
      <c r="A105" s="77"/>
      <c r="B105" s="78">
        <v>1</v>
      </c>
      <c r="C105" s="79"/>
      <c r="D105" s="80" t="s">
        <v>175</v>
      </c>
      <c r="E105" s="81">
        <v>176000</v>
      </c>
      <c r="F105" s="82">
        <v>0</v>
      </c>
      <c r="G105" s="81">
        <v>172353</v>
      </c>
      <c r="H105" s="82">
        <v>0</v>
      </c>
      <c r="I105" s="83">
        <v>40816.910000000003</v>
      </c>
      <c r="J105" s="84">
        <v>0</v>
      </c>
      <c r="K105" s="86">
        <f t="shared" si="10"/>
        <v>23.682158128956271</v>
      </c>
      <c r="L105" s="87"/>
    </row>
    <row r="106" spans="1:12" ht="17.100000000000001" customHeight="1" x14ac:dyDescent="0.25">
      <c r="A106" s="77"/>
      <c r="B106" s="78">
        <v>2</v>
      </c>
      <c r="C106" s="79"/>
      <c r="D106" s="80" t="s">
        <v>176</v>
      </c>
      <c r="E106" s="81">
        <v>6500</v>
      </c>
      <c r="F106" s="82">
        <v>0</v>
      </c>
      <c r="G106" s="81">
        <v>6500</v>
      </c>
      <c r="H106" s="82">
        <v>0</v>
      </c>
      <c r="I106" s="83">
        <v>0</v>
      </c>
      <c r="J106" s="84">
        <v>0</v>
      </c>
      <c r="K106" s="86">
        <f t="shared" si="10"/>
        <v>0</v>
      </c>
      <c r="L106" s="87"/>
    </row>
    <row r="107" spans="1:12" ht="17.100000000000001" customHeight="1" x14ac:dyDescent="0.25">
      <c r="A107" s="77"/>
      <c r="B107" s="78">
        <v>3</v>
      </c>
      <c r="C107" s="79"/>
      <c r="D107" s="80" t="s">
        <v>177</v>
      </c>
      <c r="E107" s="81">
        <v>82700</v>
      </c>
      <c r="F107" s="82">
        <v>0</v>
      </c>
      <c r="G107" s="81">
        <v>82700</v>
      </c>
      <c r="H107" s="82">
        <v>0</v>
      </c>
      <c r="I107" s="83">
        <v>1758904.85</v>
      </c>
      <c r="J107" s="84">
        <v>0</v>
      </c>
      <c r="K107" s="86">
        <f t="shared" si="10"/>
        <v>2126.8498790810158</v>
      </c>
      <c r="L107" s="87"/>
    </row>
    <row r="108" spans="1:12" ht="17.100000000000001" customHeight="1" x14ac:dyDescent="0.25">
      <c r="A108" s="77"/>
      <c r="B108" s="78">
        <v>4</v>
      </c>
      <c r="C108" s="79"/>
      <c r="D108" s="80" t="s">
        <v>178</v>
      </c>
      <c r="E108" s="81">
        <v>11000</v>
      </c>
      <c r="F108" s="82">
        <v>0</v>
      </c>
      <c r="G108" s="81">
        <v>11000</v>
      </c>
      <c r="H108" s="82">
        <v>0</v>
      </c>
      <c r="I108" s="83">
        <v>1350.48</v>
      </c>
      <c r="J108" s="84">
        <v>0</v>
      </c>
      <c r="K108" s="86">
        <f t="shared" si="10"/>
        <v>12.27709090909091</v>
      </c>
      <c r="L108" s="87"/>
    </row>
    <row r="109" spans="1:12" ht="17.100000000000001" customHeight="1" thickBot="1" x14ac:dyDescent="0.3">
      <c r="A109" s="77"/>
      <c r="B109" s="78">
        <v>5</v>
      </c>
      <c r="C109" s="79"/>
      <c r="D109" s="148" t="s">
        <v>179</v>
      </c>
      <c r="E109" s="149">
        <v>6000</v>
      </c>
      <c r="F109" s="150">
        <v>0</v>
      </c>
      <c r="G109" s="149">
        <v>6000</v>
      </c>
      <c r="H109" s="150">
        <v>0</v>
      </c>
      <c r="I109" s="151">
        <v>4205.08</v>
      </c>
      <c r="J109" s="152">
        <v>0</v>
      </c>
      <c r="K109" s="153">
        <f t="shared" si="10"/>
        <v>70.084666666666664</v>
      </c>
      <c r="L109" s="154"/>
    </row>
    <row r="110" spans="1:12" ht="5.25" customHeight="1" x14ac:dyDescent="0.25">
      <c r="A110" s="155"/>
      <c r="B110" s="156"/>
      <c r="C110" s="155"/>
      <c r="D110" s="157"/>
      <c r="E110" s="158"/>
      <c r="F110" s="158"/>
      <c r="G110" s="158"/>
      <c r="H110" s="158"/>
      <c r="I110" s="158"/>
      <c r="J110" s="158"/>
      <c r="K110" s="158"/>
      <c r="L110" s="158"/>
    </row>
    <row r="111" spans="1:12" s="122" customFormat="1" ht="26.1" customHeight="1" x14ac:dyDescent="0.3">
      <c r="A111" s="545" t="s">
        <v>66</v>
      </c>
      <c r="B111" s="545"/>
      <c r="C111" s="545"/>
      <c r="D111" s="545"/>
      <c r="E111" s="545"/>
      <c r="F111" s="545"/>
      <c r="G111" s="545"/>
      <c r="H111" s="545"/>
      <c r="I111" s="545"/>
      <c r="J111" s="545"/>
      <c r="K111" s="545"/>
      <c r="L111" s="545"/>
    </row>
    <row r="112" spans="1:12" s="122" customFormat="1" ht="30" customHeight="1" thickBot="1" x14ac:dyDescent="0.3">
      <c r="A112" s="118"/>
      <c r="B112" s="119"/>
      <c r="C112" s="118"/>
      <c r="D112" s="120"/>
      <c r="E112" s="123"/>
      <c r="F112" s="2"/>
      <c r="G112" s="123"/>
      <c r="H112" s="2"/>
      <c r="I112" s="123"/>
      <c r="J112" s="2"/>
      <c r="K112" s="123"/>
      <c r="L112" s="2" t="s">
        <v>180</v>
      </c>
    </row>
    <row r="113" spans="1:12" ht="28.5" customHeight="1" thickBot="1" x14ac:dyDescent="0.25">
      <c r="A113" s="546" t="s">
        <v>68</v>
      </c>
      <c r="B113" s="547"/>
      <c r="C113" s="548"/>
      <c r="D113" s="552" t="s">
        <v>69</v>
      </c>
      <c r="E113" s="543" t="s">
        <v>2</v>
      </c>
      <c r="F113" s="544"/>
      <c r="G113" s="543" t="s">
        <v>65</v>
      </c>
      <c r="H113" s="544"/>
      <c r="I113" s="543" t="s">
        <v>60</v>
      </c>
      <c r="J113" s="544"/>
      <c r="K113" s="543" t="s">
        <v>61</v>
      </c>
      <c r="L113" s="544"/>
    </row>
    <row r="114" spans="1:12" ht="33" customHeight="1" thickBot="1" x14ac:dyDescent="0.25">
      <c r="A114" s="549"/>
      <c r="B114" s="550"/>
      <c r="C114" s="551"/>
      <c r="D114" s="553"/>
      <c r="E114" s="69" t="s">
        <v>70</v>
      </c>
      <c r="F114" s="70" t="s">
        <v>71</v>
      </c>
      <c r="G114" s="69" t="s">
        <v>70</v>
      </c>
      <c r="H114" s="70" t="s">
        <v>71</v>
      </c>
      <c r="I114" s="69" t="s">
        <v>70</v>
      </c>
      <c r="J114" s="70" t="s">
        <v>71</v>
      </c>
      <c r="K114" s="69" t="s">
        <v>70</v>
      </c>
      <c r="L114" s="70" t="s">
        <v>71</v>
      </c>
    </row>
    <row r="115" spans="1:12" s="88" customFormat="1" ht="17.100000000000001" customHeight="1" x14ac:dyDescent="0.25">
      <c r="A115" s="159" t="s">
        <v>125</v>
      </c>
      <c r="B115" s="160">
        <v>6</v>
      </c>
      <c r="C115" s="161"/>
      <c r="D115" s="162" t="s">
        <v>181</v>
      </c>
      <c r="E115" s="163"/>
      <c r="F115" s="164"/>
      <c r="G115" s="163"/>
      <c r="H115" s="164"/>
      <c r="I115" s="165"/>
      <c r="J115" s="166"/>
      <c r="K115" s="167"/>
      <c r="L115" s="168"/>
    </row>
    <row r="116" spans="1:12" ht="17.100000000000001" customHeight="1" x14ac:dyDescent="0.25">
      <c r="A116" s="77"/>
      <c r="B116" s="78"/>
      <c r="C116" s="79" t="s">
        <v>72</v>
      </c>
      <c r="D116" s="80" t="s">
        <v>182</v>
      </c>
      <c r="E116" s="81">
        <v>2090000</v>
      </c>
      <c r="F116" s="82">
        <v>0</v>
      </c>
      <c r="G116" s="81">
        <v>2090000</v>
      </c>
      <c r="H116" s="82">
        <v>0</v>
      </c>
      <c r="I116" s="83">
        <v>813404</v>
      </c>
      <c r="J116" s="84">
        <v>0</v>
      </c>
      <c r="K116" s="86">
        <f t="shared" ref="K116:K125" si="15">I116/G116*100</f>
        <v>38.918851674641147</v>
      </c>
      <c r="L116" s="87"/>
    </row>
    <row r="117" spans="1:12" s="109" customFormat="1" ht="17.100000000000001" customHeight="1" x14ac:dyDescent="0.25">
      <c r="A117" s="77"/>
      <c r="B117" s="78"/>
      <c r="C117" s="79" t="s">
        <v>77</v>
      </c>
      <c r="D117" s="80" t="s">
        <v>183</v>
      </c>
      <c r="E117" s="81">
        <v>252000</v>
      </c>
      <c r="F117" s="82">
        <v>0</v>
      </c>
      <c r="G117" s="81">
        <v>250076</v>
      </c>
      <c r="H117" s="82">
        <v>1924</v>
      </c>
      <c r="I117" s="83">
        <v>97932</v>
      </c>
      <c r="J117" s="84">
        <v>1923</v>
      </c>
      <c r="K117" s="86">
        <f t="shared" si="15"/>
        <v>39.16089508789328</v>
      </c>
      <c r="L117" s="87">
        <f t="shared" ref="L117:L125" si="16">J117/H117*100</f>
        <v>99.948024948024951</v>
      </c>
    </row>
    <row r="118" spans="1:12" ht="17.100000000000001" customHeight="1" x14ac:dyDescent="0.25">
      <c r="A118" s="77"/>
      <c r="B118" s="78">
        <v>7</v>
      </c>
      <c r="C118" s="79"/>
      <c r="D118" s="80" t="s">
        <v>184</v>
      </c>
      <c r="E118" s="81">
        <v>68000</v>
      </c>
      <c r="F118" s="82">
        <v>0</v>
      </c>
      <c r="G118" s="81">
        <v>68000</v>
      </c>
      <c r="H118" s="82">
        <v>0</v>
      </c>
      <c r="I118" s="83">
        <v>4175</v>
      </c>
      <c r="J118" s="84">
        <v>0</v>
      </c>
      <c r="K118" s="86">
        <f t="shared" si="15"/>
        <v>6.1397058823529411</v>
      </c>
      <c r="L118" s="87"/>
    </row>
    <row r="119" spans="1:12" ht="17.100000000000001" customHeight="1" x14ac:dyDescent="0.25">
      <c r="A119" s="93" t="s">
        <v>125</v>
      </c>
      <c r="B119" s="94"/>
      <c r="C119" s="95"/>
      <c r="D119" s="96" t="s">
        <v>185</v>
      </c>
      <c r="E119" s="97">
        <f t="shared" ref="E119:J119" si="17">SUM(E105+E106+E107+E108+E109+E116+E117+E118)</f>
        <v>2692200</v>
      </c>
      <c r="F119" s="98">
        <f t="shared" si="17"/>
        <v>0</v>
      </c>
      <c r="G119" s="97">
        <f t="shared" si="17"/>
        <v>2686629</v>
      </c>
      <c r="H119" s="98">
        <f t="shared" si="17"/>
        <v>1924</v>
      </c>
      <c r="I119" s="97">
        <f t="shared" si="17"/>
        <v>2720788.3200000003</v>
      </c>
      <c r="J119" s="98">
        <f t="shared" si="17"/>
        <v>1923</v>
      </c>
      <c r="K119" s="99">
        <f t="shared" si="15"/>
        <v>101.27145653530876</v>
      </c>
      <c r="L119" s="100">
        <f t="shared" si="16"/>
        <v>99.948024948024951</v>
      </c>
    </row>
    <row r="120" spans="1:12" ht="17.100000000000001" customHeight="1" x14ac:dyDescent="0.25">
      <c r="A120" s="101" t="s">
        <v>127</v>
      </c>
      <c r="B120" s="102"/>
      <c r="C120" s="103"/>
      <c r="D120" s="104" t="s">
        <v>186</v>
      </c>
      <c r="E120" s="105"/>
      <c r="F120" s="106"/>
      <c r="G120" s="105"/>
      <c r="H120" s="106"/>
      <c r="I120" s="105"/>
      <c r="J120" s="106"/>
      <c r="K120" s="107"/>
      <c r="L120" s="108"/>
    </row>
    <row r="121" spans="1:12" ht="17.100000000000001" customHeight="1" x14ac:dyDescent="0.25">
      <c r="A121" s="77"/>
      <c r="B121" s="78">
        <v>1</v>
      </c>
      <c r="C121" s="79"/>
      <c r="D121" s="80" t="s">
        <v>187</v>
      </c>
      <c r="E121" s="81">
        <v>0</v>
      </c>
      <c r="F121" s="82">
        <v>0</v>
      </c>
      <c r="G121" s="81">
        <v>0</v>
      </c>
      <c r="H121" s="82">
        <v>0</v>
      </c>
      <c r="I121" s="83">
        <v>0</v>
      </c>
      <c r="J121" s="84">
        <v>0</v>
      </c>
      <c r="K121" s="86"/>
      <c r="L121" s="87"/>
    </row>
    <row r="122" spans="1:12" ht="17.100000000000001" customHeight="1" x14ac:dyDescent="0.25">
      <c r="A122" s="77"/>
      <c r="B122" s="78">
        <v>2</v>
      </c>
      <c r="C122" s="79"/>
      <c r="D122" s="80" t="s">
        <v>188</v>
      </c>
      <c r="E122" s="81">
        <v>90000</v>
      </c>
      <c r="F122" s="82">
        <v>0</v>
      </c>
      <c r="G122" s="81">
        <v>90000</v>
      </c>
      <c r="H122" s="82">
        <v>0</v>
      </c>
      <c r="I122" s="83">
        <v>19326</v>
      </c>
      <c r="J122" s="84">
        <v>0</v>
      </c>
      <c r="K122" s="86">
        <f t="shared" si="15"/>
        <v>21.473333333333333</v>
      </c>
      <c r="L122" s="87"/>
    </row>
    <row r="123" spans="1:12" ht="17.100000000000001" customHeight="1" x14ac:dyDescent="0.25">
      <c r="A123" s="93" t="s">
        <v>127</v>
      </c>
      <c r="B123" s="94"/>
      <c r="C123" s="95"/>
      <c r="D123" s="96" t="s">
        <v>189</v>
      </c>
      <c r="E123" s="97">
        <f t="shared" ref="E123:F123" si="18">SUM(E121:E122)</f>
        <v>90000</v>
      </c>
      <c r="F123" s="98">
        <f t="shared" si="18"/>
        <v>0</v>
      </c>
      <c r="G123" s="97">
        <f t="shared" ref="G123:J123" si="19">SUM(G121:G122)</f>
        <v>90000</v>
      </c>
      <c r="H123" s="98">
        <f t="shared" si="19"/>
        <v>0</v>
      </c>
      <c r="I123" s="97">
        <f t="shared" si="19"/>
        <v>19326</v>
      </c>
      <c r="J123" s="98">
        <f t="shared" si="19"/>
        <v>0</v>
      </c>
      <c r="K123" s="99">
        <f t="shared" si="15"/>
        <v>21.473333333333333</v>
      </c>
      <c r="L123" s="100"/>
    </row>
    <row r="124" spans="1:12" ht="17.100000000000001" customHeight="1" x14ac:dyDescent="0.25">
      <c r="A124" s="169"/>
      <c r="B124" s="170"/>
      <c r="C124" s="171"/>
      <c r="D124" s="172"/>
      <c r="E124" s="173"/>
      <c r="F124" s="174"/>
      <c r="G124" s="173"/>
      <c r="H124" s="174"/>
      <c r="I124" s="175"/>
      <c r="J124" s="176"/>
      <c r="K124" s="177"/>
      <c r="L124" s="178"/>
    </row>
    <row r="125" spans="1:12" ht="24.75" customHeight="1" thickBot="1" x14ac:dyDescent="0.3">
      <c r="A125" s="560" t="s">
        <v>190</v>
      </c>
      <c r="B125" s="561"/>
      <c r="C125" s="561"/>
      <c r="D125" s="562"/>
      <c r="E125" s="114">
        <f t="shared" ref="E125:J125" si="20">SUM(E16+E20+E26+E34+E63+E72+E91+E98+E103+E119+E123)</f>
        <v>63789274</v>
      </c>
      <c r="F125" s="115">
        <f t="shared" si="20"/>
        <v>6032178</v>
      </c>
      <c r="G125" s="114">
        <f t="shared" si="20"/>
        <v>68465076</v>
      </c>
      <c r="H125" s="115">
        <f t="shared" si="20"/>
        <v>6882618</v>
      </c>
      <c r="I125" s="114">
        <f t="shared" si="20"/>
        <v>31449565.169999998</v>
      </c>
      <c r="J125" s="115">
        <f t="shared" si="20"/>
        <v>4061579.6999999997</v>
      </c>
      <c r="K125" s="116">
        <f t="shared" si="15"/>
        <v>45.935193543055433</v>
      </c>
      <c r="L125" s="117">
        <f t="shared" si="16"/>
        <v>59.012133173742896</v>
      </c>
    </row>
    <row r="126" spans="1:12" ht="18" customHeight="1" x14ac:dyDescent="0.2">
      <c r="E126" s="124"/>
      <c r="F126" s="85"/>
      <c r="G126" s="124"/>
      <c r="H126" s="85"/>
      <c r="I126" s="124"/>
      <c r="J126" s="85"/>
      <c r="K126" s="124"/>
      <c r="L126" s="85"/>
    </row>
    <row r="127" spans="1:12" ht="30" customHeight="1" thickBot="1" x14ac:dyDescent="0.25">
      <c r="E127" s="124"/>
      <c r="F127" s="85"/>
      <c r="G127" s="124"/>
      <c r="H127" s="85"/>
      <c r="I127" s="124"/>
      <c r="J127" s="85"/>
      <c r="K127" s="124"/>
      <c r="L127" s="85"/>
    </row>
    <row r="128" spans="1:12" ht="31.15" customHeight="1" thickBot="1" x14ac:dyDescent="0.25">
      <c r="A128" s="563" t="s">
        <v>191</v>
      </c>
      <c r="B128" s="564"/>
      <c r="C128" s="564"/>
      <c r="D128" s="565"/>
      <c r="E128" s="543" t="s">
        <v>2</v>
      </c>
      <c r="F128" s="544"/>
      <c r="G128" s="543" t="s">
        <v>65</v>
      </c>
      <c r="H128" s="544"/>
      <c r="I128" s="543" t="s">
        <v>60</v>
      </c>
      <c r="J128" s="544"/>
      <c r="K128" s="543" t="s">
        <v>61</v>
      </c>
      <c r="L128" s="544"/>
    </row>
    <row r="129" spans="1:12" ht="18" customHeight="1" x14ac:dyDescent="0.25">
      <c r="A129" s="179">
        <v>4</v>
      </c>
      <c r="B129" s="180">
        <v>1</v>
      </c>
      <c r="C129" s="181">
        <v>1</v>
      </c>
      <c r="D129" s="182" t="s">
        <v>192</v>
      </c>
      <c r="E129" s="554">
        <v>18600</v>
      </c>
      <c r="F129" s="555"/>
      <c r="G129" s="554">
        <v>18600</v>
      </c>
      <c r="H129" s="555"/>
      <c r="I129" s="556">
        <v>9878</v>
      </c>
      <c r="J129" s="557"/>
      <c r="K129" s="558">
        <f t="shared" ref="K129:K134" si="21">I129/G129*100</f>
        <v>53.107526881720432</v>
      </c>
      <c r="L129" s="559" t="e">
        <f t="shared" ref="L129:L134" si="22">J129/H129*100</f>
        <v>#DIV/0!</v>
      </c>
    </row>
    <row r="130" spans="1:12" s="130" customFormat="1" ht="18" customHeight="1" x14ac:dyDescent="0.25">
      <c r="A130" s="179">
        <v>5</v>
      </c>
      <c r="B130" s="180">
        <v>3</v>
      </c>
      <c r="C130" s="181">
        <v>1</v>
      </c>
      <c r="D130" s="182" t="s">
        <v>193</v>
      </c>
      <c r="E130" s="572">
        <v>681293</v>
      </c>
      <c r="F130" s="573"/>
      <c r="G130" s="572">
        <v>681293</v>
      </c>
      <c r="H130" s="573"/>
      <c r="I130" s="574">
        <v>380543</v>
      </c>
      <c r="J130" s="575"/>
      <c r="K130" s="576">
        <f t="shared" si="21"/>
        <v>55.855997346222551</v>
      </c>
      <c r="L130" s="577" t="e">
        <f t="shared" si="22"/>
        <v>#DIV/0!</v>
      </c>
    </row>
    <row r="131" spans="1:12" ht="18" customHeight="1" x14ac:dyDescent="0.25">
      <c r="A131" s="179">
        <v>7</v>
      </c>
      <c r="B131" s="180">
        <v>1</v>
      </c>
      <c r="C131" s="181"/>
      <c r="D131" s="182" t="s">
        <v>192</v>
      </c>
      <c r="E131" s="566">
        <v>3300</v>
      </c>
      <c r="F131" s="567"/>
      <c r="G131" s="566">
        <v>3300</v>
      </c>
      <c r="H131" s="567"/>
      <c r="I131" s="568">
        <v>3268</v>
      </c>
      <c r="J131" s="569"/>
      <c r="K131" s="570">
        <f t="shared" si="21"/>
        <v>99.030303030303031</v>
      </c>
      <c r="L131" s="571" t="e">
        <f t="shared" si="22"/>
        <v>#DIV/0!</v>
      </c>
    </row>
    <row r="132" spans="1:12" ht="18" customHeight="1" x14ac:dyDescent="0.25">
      <c r="A132" s="179">
        <v>9</v>
      </c>
      <c r="B132" s="180">
        <v>3</v>
      </c>
      <c r="C132" s="181"/>
      <c r="D132" s="182" t="s">
        <v>194</v>
      </c>
      <c r="E132" s="566">
        <v>103512</v>
      </c>
      <c r="F132" s="567"/>
      <c r="G132" s="566">
        <v>103512</v>
      </c>
      <c r="H132" s="567"/>
      <c r="I132" s="568">
        <v>0</v>
      </c>
      <c r="J132" s="569"/>
      <c r="K132" s="570">
        <f t="shared" si="21"/>
        <v>0</v>
      </c>
      <c r="L132" s="571" t="e">
        <f t="shared" si="22"/>
        <v>#DIV/0!</v>
      </c>
    </row>
    <row r="133" spans="1:12" ht="18" customHeight="1" x14ac:dyDescent="0.25">
      <c r="A133" s="183"/>
      <c r="B133" s="184"/>
      <c r="C133" s="185"/>
      <c r="D133" s="186" t="s">
        <v>195</v>
      </c>
      <c r="E133" s="566">
        <v>0</v>
      </c>
      <c r="F133" s="567"/>
      <c r="G133" s="566">
        <v>0</v>
      </c>
      <c r="H133" s="567"/>
      <c r="I133" s="568">
        <v>36216</v>
      </c>
      <c r="J133" s="569"/>
      <c r="K133" s="570"/>
      <c r="L133" s="571"/>
    </row>
    <row r="134" spans="1:12" ht="24.95" customHeight="1" thickBot="1" x14ac:dyDescent="0.3">
      <c r="A134" s="579" t="s">
        <v>190</v>
      </c>
      <c r="B134" s="580"/>
      <c r="C134" s="580"/>
      <c r="D134" s="581"/>
      <c r="E134" s="582">
        <f>SUM(E129:F133)</f>
        <v>806705</v>
      </c>
      <c r="F134" s="583"/>
      <c r="G134" s="582">
        <f>SUM(G129:H133)</f>
        <v>806705</v>
      </c>
      <c r="H134" s="583"/>
      <c r="I134" s="582">
        <f>SUM(I129:J133)</f>
        <v>429905</v>
      </c>
      <c r="J134" s="583"/>
      <c r="K134" s="584">
        <f t="shared" si="21"/>
        <v>53.291475818297897</v>
      </c>
      <c r="L134" s="585" t="e">
        <f t="shared" si="22"/>
        <v>#DIV/0!</v>
      </c>
    </row>
    <row r="135" spans="1:12" s="88" customFormat="1" ht="18.600000000000001" customHeight="1" x14ac:dyDescent="0.25">
      <c r="A135" s="187"/>
      <c r="B135" s="187"/>
      <c r="C135" s="187"/>
      <c r="D135" s="187"/>
      <c r="E135" s="578"/>
      <c r="F135" s="578"/>
      <c r="G135" s="578"/>
      <c r="H135" s="578"/>
      <c r="I135" s="578"/>
      <c r="J135" s="578"/>
      <c r="K135" s="578"/>
      <c r="L135" s="578"/>
    </row>
    <row r="136" spans="1:12" s="88" customFormat="1" ht="18.600000000000001" customHeight="1" thickBot="1" x14ac:dyDescent="0.3">
      <c r="A136" s="187"/>
      <c r="B136" s="187"/>
      <c r="C136" s="187"/>
      <c r="D136" s="187"/>
      <c r="E136" s="188"/>
      <c r="F136" s="188"/>
      <c r="G136" s="188"/>
      <c r="H136" s="188"/>
      <c r="I136" s="188"/>
      <c r="J136" s="188"/>
      <c r="K136" s="188"/>
      <c r="L136" s="188"/>
    </row>
    <row r="137" spans="1:12" ht="31.15" customHeight="1" thickBot="1" x14ac:dyDescent="0.25">
      <c r="A137" s="563" t="s">
        <v>196</v>
      </c>
      <c r="B137" s="564"/>
      <c r="C137" s="564"/>
      <c r="D137" s="565"/>
      <c r="E137" s="543" t="s">
        <v>2</v>
      </c>
      <c r="F137" s="544"/>
      <c r="G137" s="543" t="s">
        <v>65</v>
      </c>
      <c r="H137" s="544"/>
      <c r="I137" s="543" t="s">
        <v>60</v>
      </c>
      <c r="J137" s="544"/>
      <c r="K137" s="543" t="s">
        <v>61</v>
      </c>
      <c r="L137" s="544"/>
    </row>
    <row r="138" spans="1:12" ht="24.95" customHeight="1" x14ac:dyDescent="0.2">
      <c r="A138" s="586" t="s">
        <v>197</v>
      </c>
      <c r="B138" s="587"/>
      <c r="C138" s="587"/>
      <c r="D138" s="588"/>
      <c r="E138" s="554">
        <f>SUM(E125)</f>
        <v>63789274</v>
      </c>
      <c r="F138" s="555" t="e">
        <f>SUM(#REF!+#REF!)</f>
        <v>#REF!</v>
      </c>
      <c r="G138" s="554">
        <f>SUM(G125)</f>
        <v>68465076</v>
      </c>
      <c r="H138" s="555" t="e">
        <f>SUM(#REF!+#REF!)</f>
        <v>#REF!</v>
      </c>
      <c r="I138" s="556">
        <f>SUM(I125)</f>
        <v>31449565.169999998</v>
      </c>
      <c r="J138" s="557" t="e">
        <f>SUM(#REF!+#REF!)</f>
        <v>#REF!</v>
      </c>
      <c r="K138" s="558">
        <f t="shared" ref="K138:K141" si="23">I138/G138*100</f>
        <v>45.935193543055433</v>
      </c>
      <c r="L138" s="559" t="e">
        <f t="shared" ref="L138:L141" si="24">J138/H138*100</f>
        <v>#REF!</v>
      </c>
    </row>
    <row r="139" spans="1:12" ht="24.95" customHeight="1" x14ac:dyDescent="0.2">
      <c r="A139" s="589" t="s">
        <v>198</v>
      </c>
      <c r="B139" s="590"/>
      <c r="C139" s="590"/>
      <c r="D139" s="591"/>
      <c r="E139" s="566">
        <f>SUM(F125)</f>
        <v>6032178</v>
      </c>
      <c r="F139" s="567" t="e">
        <f>SUM(#REF!+#REF!)</f>
        <v>#REF!</v>
      </c>
      <c r="G139" s="566">
        <f>SUM(H125)</f>
        <v>6882618</v>
      </c>
      <c r="H139" s="567" t="e">
        <f>SUM(#REF!+#REF!)</f>
        <v>#REF!</v>
      </c>
      <c r="I139" s="568">
        <f>SUM(J125)</f>
        <v>4061579.6999999997</v>
      </c>
      <c r="J139" s="569" t="e">
        <f>SUM(#REF!+#REF!)</f>
        <v>#REF!</v>
      </c>
      <c r="K139" s="570">
        <f t="shared" si="23"/>
        <v>59.012133173742896</v>
      </c>
      <c r="L139" s="571" t="e">
        <f t="shared" si="24"/>
        <v>#REF!</v>
      </c>
    </row>
    <row r="140" spans="1:12" ht="24.95" customHeight="1" x14ac:dyDescent="0.2">
      <c r="A140" s="589" t="s">
        <v>199</v>
      </c>
      <c r="B140" s="590"/>
      <c r="C140" s="590"/>
      <c r="D140" s="591"/>
      <c r="E140" s="566">
        <f>SUM(E134)</f>
        <v>806705</v>
      </c>
      <c r="F140" s="567" t="e">
        <f>SUM(#REF!+#REF!)</f>
        <v>#REF!</v>
      </c>
      <c r="G140" s="566">
        <f>SUM(G134)</f>
        <v>806705</v>
      </c>
      <c r="H140" s="567" t="e">
        <f>SUM(#REF!+#REF!)</f>
        <v>#REF!</v>
      </c>
      <c r="I140" s="568">
        <f>SUM(I134)</f>
        <v>429905</v>
      </c>
      <c r="J140" s="569" t="e">
        <f>SUM(#REF!+#REF!)</f>
        <v>#REF!</v>
      </c>
      <c r="K140" s="570">
        <f t="shared" si="23"/>
        <v>53.291475818297897</v>
      </c>
      <c r="L140" s="571" t="e">
        <f t="shared" si="24"/>
        <v>#REF!</v>
      </c>
    </row>
    <row r="141" spans="1:12" ht="24.95" customHeight="1" thickBot="1" x14ac:dyDescent="0.3">
      <c r="A141" s="593" t="s">
        <v>200</v>
      </c>
      <c r="B141" s="594"/>
      <c r="C141" s="594"/>
      <c r="D141" s="595"/>
      <c r="E141" s="582">
        <f t="shared" ref="E141" si="25">E138+E139+E140</f>
        <v>70628157</v>
      </c>
      <c r="F141" s="583"/>
      <c r="G141" s="582">
        <f t="shared" ref="G141:I141" si="26">G138+G139+G140</f>
        <v>76154399</v>
      </c>
      <c r="H141" s="583"/>
      <c r="I141" s="582">
        <f t="shared" si="26"/>
        <v>35941049.869999997</v>
      </c>
      <c r="J141" s="583"/>
      <c r="K141" s="584">
        <f t="shared" si="23"/>
        <v>47.194975394658414</v>
      </c>
      <c r="L141" s="585" t="e">
        <f t="shared" si="24"/>
        <v>#DIV/0!</v>
      </c>
    </row>
    <row r="142" spans="1:12" s="88" customFormat="1" ht="10.5" customHeight="1" x14ac:dyDescent="0.25">
      <c r="A142" s="592"/>
      <c r="B142" s="592"/>
      <c r="C142" s="592"/>
      <c r="D142" s="592"/>
      <c r="E142" s="188"/>
      <c r="F142" s="188"/>
      <c r="G142" s="188"/>
      <c r="H142" s="188"/>
      <c r="I142" s="188"/>
      <c r="J142" s="188"/>
      <c r="K142" s="188"/>
      <c r="L142" s="188"/>
    </row>
  </sheetData>
  <sheetProtection sheet="1" objects="1" scenarios="1"/>
  <mergeCells count="91">
    <mergeCell ref="A142:D142"/>
    <mergeCell ref="A141:D141"/>
    <mergeCell ref="E141:F141"/>
    <mergeCell ref="G141:H141"/>
    <mergeCell ref="I141:J141"/>
    <mergeCell ref="K141:L141"/>
    <mergeCell ref="A140:D140"/>
    <mergeCell ref="E140:F140"/>
    <mergeCell ref="G140:H140"/>
    <mergeCell ref="I140:J140"/>
    <mergeCell ref="K140:L140"/>
    <mergeCell ref="A139:D139"/>
    <mergeCell ref="E139:F139"/>
    <mergeCell ref="G139:H139"/>
    <mergeCell ref="I139:J139"/>
    <mergeCell ref="K139:L139"/>
    <mergeCell ref="A138:D138"/>
    <mergeCell ref="E138:F138"/>
    <mergeCell ref="G138:H138"/>
    <mergeCell ref="I138:J138"/>
    <mergeCell ref="K138:L138"/>
    <mergeCell ref="A137:D137"/>
    <mergeCell ref="E137:F137"/>
    <mergeCell ref="G137:H137"/>
    <mergeCell ref="I137:J137"/>
    <mergeCell ref="K137:L137"/>
    <mergeCell ref="E135:F135"/>
    <mergeCell ref="G135:H135"/>
    <mergeCell ref="I135:J135"/>
    <mergeCell ref="K135:L135"/>
    <mergeCell ref="A134:D134"/>
    <mergeCell ref="E134:F134"/>
    <mergeCell ref="G134:H134"/>
    <mergeCell ref="I134:J134"/>
    <mergeCell ref="K134:L134"/>
    <mergeCell ref="E133:F133"/>
    <mergeCell ref="G133:H133"/>
    <mergeCell ref="I133:J133"/>
    <mergeCell ref="K133:L133"/>
    <mergeCell ref="E132:F132"/>
    <mergeCell ref="G132:H132"/>
    <mergeCell ref="I132:J132"/>
    <mergeCell ref="K132:L132"/>
    <mergeCell ref="E131:F131"/>
    <mergeCell ref="G131:H131"/>
    <mergeCell ref="I131:J131"/>
    <mergeCell ref="K131:L131"/>
    <mergeCell ref="E130:F130"/>
    <mergeCell ref="G130:H130"/>
    <mergeCell ref="I130:J130"/>
    <mergeCell ref="K130:L130"/>
    <mergeCell ref="E129:F129"/>
    <mergeCell ref="G129:H129"/>
    <mergeCell ref="I129:J129"/>
    <mergeCell ref="K129:L129"/>
    <mergeCell ref="A125:D125"/>
    <mergeCell ref="A128:D128"/>
    <mergeCell ref="E128:F128"/>
    <mergeCell ref="G128:H128"/>
    <mergeCell ref="I128:J128"/>
    <mergeCell ref="K128:L128"/>
    <mergeCell ref="K113:L113"/>
    <mergeCell ref="K76:L76"/>
    <mergeCell ref="A111:L111"/>
    <mergeCell ref="A74:L74"/>
    <mergeCell ref="A76:C77"/>
    <mergeCell ref="D76:D77"/>
    <mergeCell ref="E76:F76"/>
    <mergeCell ref="G76:H76"/>
    <mergeCell ref="I76:J76"/>
    <mergeCell ref="A113:C114"/>
    <mergeCell ref="D113:D114"/>
    <mergeCell ref="E113:F113"/>
    <mergeCell ref="G113:H113"/>
    <mergeCell ref="I113:J113"/>
    <mergeCell ref="A36:L36"/>
    <mergeCell ref="A38:C39"/>
    <mergeCell ref="D38:D39"/>
    <mergeCell ref="E38:F38"/>
    <mergeCell ref="G38:H38"/>
    <mergeCell ref="I38:J38"/>
    <mergeCell ref="K38:L38"/>
    <mergeCell ref="K3:L3"/>
    <mergeCell ref="A1:L1"/>
    <mergeCell ref="A2:C2"/>
    <mergeCell ref="D2:F2"/>
    <mergeCell ref="A3:C4"/>
    <mergeCell ref="D3:D4"/>
    <mergeCell ref="E3:F3"/>
    <mergeCell ref="G3:H3"/>
    <mergeCell ref="I3:J3"/>
  </mergeCells>
  <pageMargins left="0.19685039370078741" right="0.19685039370078741" top="0.19685039370078741" bottom="0.19685039370078741" header="0.31496062992125984" footer="0.31496062992125984"/>
  <pageSetup paperSize="9" scale="83" fitToHeight="0" orientation="landscape" r:id="rId1"/>
  <headerFooter alignWithMargins="0"/>
  <rowBreaks count="3" manualBreakCount="3">
    <brk id="35" max="33" man="1"/>
    <brk id="73" max="33" man="1"/>
    <brk id="110" max="3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78550-856A-4971-B6E6-A7DB4F0BD483}">
  <dimension ref="B2:I72"/>
  <sheetViews>
    <sheetView zoomScale="80" zoomScaleNormal="80" workbookViewId="0">
      <selection activeCell="E48" sqref="E48"/>
    </sheetView>
  </sheetViews>
  <sheetFormatPr defaultColWidth="9.140625" defaultRowHeight="12.75" x14ac:dyDescent="0.2"/>
  <cols>
    <col min="1" max="1" width="1.85546875" style="477" customWidth="1"/>
    <col min="2" max="2" width="64.85546875" style="477" customWidth="1"/>
    <col min="3" max="5" width="17.7109375" style="477" customWidth="1"/>
    <col min="6" max="6" width="12.5703125" style="477" customWidth="1"/>
    <col min="7" max="7" width="9.140625" style="477"/>
    <col min="8" max="9" width="9.140625" style="478"/>
    <col min="10" max="16384" width="9.140625" style="477"/>
  </cols>
  <sheetData>
    <row r="2" spans="2:6" ht="21" customHeight="1" x14ac:dyDescent="0.2">
      <c r="B2" s="596" t="s">
        <v>316</v>
      </c>
      <c r="C2" s="596"/>
      <c r="D2" s="596"/>
      <c r="E2" s="596"/>
      <c r="F2" s="596"/>
    </row>
    <row r="3" spans="2:6" ht="21" customHeight="1" x14ac:dyDescent="0.2">
      <c r="B3" s="596" t="s">
        <v>274</v>
      </c>
      <c r="C3" s="596"/>
      <c r="D3" s="596"/>
      <c r="E3" s="596"/>
      <c r="F3" s="596"/>
    </row>
    <row r="4" spans="2:6" ht="21" customHeight="1" x14ac:dyDescent="0.2">
      <c r="B4" s="596" t="s">
        <v>317</v>
      </c>
      <c r="C4" s="596"/>
      <c r="D4" s="596"/>
      <c r="E4" s="596"/>
      <c r="F4" s="596"/>
    </row>
    <row r="5" spans="2:6" ht="30" customHeight="1" thickBot="1" x14ac:dyDescent="0.25">
      <c r="B5" s="479"/>
      <c r="C5" s="480"/>
      <c r="D5" s="480"/>
      <c r="E5" s="480"/>
      <c r="F5" s="480" t="s">
        <v>275</v>
      </c>
    </row>
    <row r="6" spans="2:6" ht="46.5" customHeight="1" thickBot="1" x14ac:dyDescent="0.25">
      <c r="B6" s="481" t="s">
        <v>1</v>
      </c>
      <c r="C6" s="482" t="s">
        <v>2</v>
      </c>
      <c r="D6" s="482" t="s">
        <v>65</v>
      </c>
      <c r="E6" s="482" t="s">
        <v>60</v>
      </c>
      <c r="F6" s="482" t="s">
        <v>61</v>
      </c>
    </row>
    <row r="7" spans="2:6" ht="24.95" customHeight="1" x14ac:dyDescent="0.2">
      <c r="B7" s="483" t="s">
        <v>276</v>
      </c>
      <c r="C7" s="484"/>
      <c r="D7" s="484"/>
      <c r="E7" s="485"/>
      <c r="F7" s="486"/>
    </row>
    <row r="8" spans="2:6" ht="18.95" customHeight="1" x14ac:dyDescent="0.25">
      <c r="B8" s="487" t="s">
        <v>277</v>
      </c>
      <c r="C8" s="488">
        <f t="shared" ref="C8:D8" si="0">SUM(C10:C15)</f>
        <v>1882000</v>
      </c>
      <c r="D8" s="488">
        <f t="shared" si="0"/>
        <v>1885500</v>
      </c>
      <c r="E8" s="489">
        <v>876744</v>
      </c>
      <c r="F8" s="490">
        <f>E8/D8*100</f>
        <v>46.499284009546535</v>
      </c>
    </row>
    <row r="9" spans="2:6" ht="18.95" customHeight="1" x14ac:dyDescent="0.25">
      <c r="B9" s="487" t="s">
        <v>278</v>
      </c>
      <c r="C9" s="491"/>
      <c r="D9" s="491"/>
      <c r="E9" s="492"/>
      <c r="F9" s="493"/>
    </row>
    <row r="10" spans="2:6" ht="18.95" customHeight="1" x14ac:dyDescent="0.25">
      <c r="B10" s="487" t="s">
        <v>279</v>
      </c>
      <c r="C10" s="494">
        <v>1826000</v>
      </c>
      <c r="D10" s="494">
        <v>1829500</v>
      </c>
      <c r="E10" s="495">
        <v>840744</v>
      </c>
      <c r="F10" s="496">
        <f t="shared" ref="F10:F32" si="1">E10/D10*100</f>
        <v>45.954851052200056</v>
      </c>
    </row>
    <row r="11" spans="2:6" ht="18.95" customHeight="1" x14ac:dyDescent="0.25">
      <c r="B11" s="487" t="s">
        <v>280</v>
      </c>
      <c r="C11" s="494">
        <v>30000</v>
      </c>
      <c r="D11" s="494">
        <v>30000</v>
      </c>
      <c r="E11" s="495">
        <v>30000</v>
      </c>
      <c r="F11" s="496">
        <f t="shared" si="1"/>
        <v>100</v>
      </c>
    </row>
    <row r="12" spans="2:6" ht="18.95" customHeight="1" x14ac:dyDescent="0.25">
      <c r="B12" s="487" t="s">
        <v>281</v>
      </c>
      <c r="C12" s="494">
        <v>5000</v>
      </c>
      <c r="D12" s="494">
        <v>5000</v>
      </c>
      <c r="E12" s="495">
        <v>0</v>
      </c>
      <c r="F12" s="496">
        <f t="shared" si="1"/>
        <v>0</v>
      </c>
    </row>
    <row r="13" spans="2:6" ht="18.95" customHeight="1" x14ac:dyDescent="0.25">
      <c r="B13" s="487" t="s">
        <v>282</v>
      </c>
      <c r="C13" s="494">
        <v>6000</v>
      </c>
      <c r="D13" s="494">
        <v>6000</v>
      </c>
      <c r="E13" s="495">
        <v>6000</v>
      </c>
      <c r="F13" s="496">
        <f t="shared" si="1"/>
        <v>100</v>
      </c>
    </row>
    <row r="14" spans="2:6" ht="18.95" customHeight="1" x14ac:dyDescent="0.25">
      <c r="B14" s="487" t="s">
        <v>283</v>
      </c>
      <c r="C14" s="494">
        <v>15000</v>
      </c>
      <c r="D14" s="494">
        <v>15000</v>
      </c>
      <c r="E14" s="495">
        <v>0</v>
      </c>
      <c r="F14" s="496">
        <f t="shared" si="1"/>
        <v>0</v>
      </c>
    </row>
    <row r="15" spans="2:6" ht="18.95" customHeight="1" x14ac:dyDescent="0.25">
      <c r="B15" s="487"/>
      <c r="C15" s="494"/>
      <c r="D15" s="494"/>
      <c r="E15" s="495"/>
      <c r="F15" s="496"/>
    </row>
    <row r="16" spans="2:6" ht="18.95" customHeight="1" x14ac:dyDescent="0.25">
      <c r="B16" s="497" t="s">
        <v>284</v>
      </c>
      <c r="C16" s="494">
        <v>0</v>
      </c>
      <c r="D16" s="494">
        <v>2268</v>
      </c>
      <c r="E16" s="495">
        <v>7965.26</v>
      </c>
      <c r="F16" s="496">
        <f t="shared" si="1"/>
        <v>351.20194003527337</v>
      </c>
    </row>
    <row r="17" spans="2:6" ht="18.95" customHeight="1" x14ac:dyDescent="0.25">
      <c r="B17" s="497" t="s">
        <v>285</v>
      </c>
      <c r="C17" s="494">
        <v>0</v>
      </c>
      <c r="D17" s="494">
        <v>0</v>
      </c>
      <c r="E17" s="495">
        <v>0</v>
      </c>
      <c r="F17" s="496"/>
    </row>
    <row r="18" spans="2:6" ht="18.95" customHeight="1" x14ac:dyDescent="0.2">
      <c r="B18" s="498" t="s">
        <v>286</v>
      </c>
      <c r="C18" s="499">
        <v>1882000</v>
      </c>
      <c r="D18" s="499">
        <v>1890168</v>
      </c>
      <c r="E18" s="500">
        <v>853555</v>
      </c>
      <c r="F18" s="501">
        <f t="shared" si="1"/>
        <v>45.157626200422399</v>
      </c>
    </row>
    <row r="19" spans="2:6" ht="18.95" customHeight="1" x14ac:dyDescent="0.2">
      <c r="B19" s="502" t="s">
        <v>287</v>
      </c>
      <c r="C19" s="499">
        <v>828782</v>
      </c>
      <c r="D19" s="499">
        <v>828782</v>
      </c>
      <c r="E19" s="500">
        <v>360134</v>
      </c>
      <c r="F19" s="501">
        <f t="shared" si="1"/>
        <v>43.453405117389131</v>
      </c>
    </row>
    <row r="20" spans="2:6" ht="18.95" customHeight="1" x14ac:dyDescent="0.2">
      <c r="B20" s="503" t="s">
        <v>288</v>
      </c>
      <c r="C20" s="499">
        <v>0</v>
      </c>
      <c r="D20" s="499">
        <v>0</v>
      </c>
      <c r="E20" s="500">
        <v>0</v>
      </c>
      <c r="F20" s="501"/>
    </row>
    <row r="21" spans="2:6" ht="18.95" customHeight="1" x14ac:dyDescent="0.2">
      <c r="B21" s="503" t="s">
        <v>289</v>
      </c>
      <c r="C21" s="499">
        <v>290000</v>
      </c>
      <c r="D21" s="499">
        <v>292268</v>
      </c>
      <c r="E21" s="500">
        <v>289018</v>
      </c>
      <c r="F21" s="501">
        <f t="shared" si="1"/>
        <v>98.888006897778752</v>
      </c>
    </row>
    <row r="22" spans="2:6" ht="18.95" customHeight="1" x14ac:dyDescent="0.2">
      <c r="B22" s="503" t="s">
        <v>290</v>
      </c>
      <c r="C22" s="499">
        <v>0</v>
      </c>
      <c r="D22" s="499">
        <v>2400</v>
      </c>
      <c r="E22" s="500">
        <v>1250</v>
      </c>
      <c r="F22" s="501">
        <f t="shared" si="1"/>
        <v>52.083333333333336</v>
      </c>
    </row>
    <row r="23" spans="2:6" ht="18.95" customHeight="1" x14ac:dyDescent="0.2">
      <c r="B23" s="504"/>
      <c r="C23" s="505"/>
      <c r="D23" s="505"/>
      <c r="E23" s="506"/>
      <c r="F23" s="507"/>
    </row>
    <row r="24" spans="2:6" ht="24.95" customHeight="1" x14ac:dyDescent="0.2">
      <c r="B24" s="483" t="s">
        <v>291</v>
      </c>
      <c r="C24" s="505"/>
      <c r="D24" s="505"/>
      <c r="E24" s="506"/>
      <c r="F24" s="507"/>
    </row>
    <row r="25" spans="2:6" ht="18.95" customHeight="1" x14ac:dyDescent="0.25">
      <c r="B25" s="487" t="s">
        <v>292</v>
      </c>
      <c r="C25" s="494">
        <v>845000</v>
      </c>
      <c r="D25" s="494">
        <v>855300</v>
      </c>
      <c r="E25" s="495">
        <v>396340</v>
      </c>
      <c r="F25" s="496">
        <f t="shared" si="1"/>
        <v>46.339296153396468</v>
      </c>
    </row>
    <row r="26" spans="2:6" ht="18.95" customHeight="1" x14ac:dyDescent="0.25">
      <c r="B26" s="497" t="s">
        <v>284</v>
      </c>
      <c r="C26" s="494">
        <v>0</v>
      </c>
      <c r="D26" s="494">
        <v>6000</v>
      </c>
      <c r="E26" s="495">
        <v>0</v>
      </c>
      <c r="F26" s="496">
        <f t="shared" si="1"/>
        <v>0</v>
      </c>
    </row>
    <row r="27" spans="2:6" ht="18.95" customHeight="1" x14ac:dyDescent="0.25">
      <c r="B27" s="487" t="s">
        <v>293</v>
      </c>
      <c r="C27" s="494">
        <v>0</v>
      </c>
      <c r="D27" s="494">
        <v>0</v>
      </c>
      <c r="E27" s="495">
        <v>0</v>
      </c>
      <c r="F27" s="496"/>
    </row>
    <row r="28" spans="2:6" ht="18.95" customHeight="1" x14ac:dyDescent="0.2">
      <c r="B28" s="498" t="s">
        <v>286</v>
      </c>
      <c r="C28" s="499">
        <v>845000</v>
      </c>
      <c r="D28" s="499">
        <v>863518</v>
      </c>
      <c r="E28" s="500">
        <v>363789</v>
      </c>
      <c r="F28" s="501">
        <f t="shared" si="1"/>
        <v>42.128710692770738</v>
      </c>
    </row>
    <row r="29" spans="2:6" ht="18.95" customHeight="1" x14ac:dyDescent="0.2">
      <c r="B29" s="502" t="s">
        <v>287</v>
      </c>
      <c r="C29" s="499">
        <v>408000</v>
      </c>
      <c r="D29" s="499">
        <v>400807</v>
      </c>
      <c r="E29" s="500">
        <v>165518</v>
      </c>
      <c r="F29" s="501">
        <f t="shared" si="1"/>
        <v>41.296184946869694</v>
      </c>
    </row>
    <row r="30" spans="2:6" ht="18.95" customHeight="1" x14ac:dyDescent="0.2">
      <c r="B30" s="503" t="s">
        <v>288</v>
      </c>
      <c r="C30" s="499">
        <v>0</v>
      </c>
      <c r="D30" s="499">
        <v>0</v>
      </c>
      <c r="E30" s="500">
        <v>0</v>
      </c>
      <c r="F30" s="501"/>
    </row>
    <row r="31" spans="2:6" ht="18.95" customHeight="1" x14ac:dyDescent="0.2">
      <c r="B31" s="503" t="s">
        <v>294</v>
      </c>
      <c r="C31" s="499">
        <v>27000</v>
      </c>
      <c r="D31" s="499">
        <v>33000</v>
      </c>
      <c r="E31" s="500">
        <v>34304</v>
      </c>
      <c r="F31" s="501">
        <f t="shared" si="1"/>
        <v>103.95151515151515</v>
      </c>
    </row>
    <row r="32" spans="2:6" ht="18.95" customHeight="1" thickBot="1" x14ac:dyDescent="0.25">
      <c r="B32" s="508" t="s">
        <v>290</v>
      </c>
      <c r="C32" s="509">
        <v>0</v>
      </c>
      <c r="D32" s="509">
        <v>2218</v>
      </c>
      <c r="E32" s="510">
        <v>2218</v>
      </c>
      <c r="F32" s="511">
        <f t="shared" si="1"/>
        <v>100</v>
      </c>
    </row>
    <row r="33" spans="2:6" ht="6" customHeight="1" x14ac:dyDescent="0.2">
      <c r="B33" s="512"/>
      <c r="C33" s="513"/>
      <c r="D33" s="513"/>
      <c r="E33" s="513"/>
      <c r="F33" s="513"/>
    </row>
    <row r="34" spans="2:6" ht="21" customHeight="1" x14ac:dyDescent="0.2">
      <c r="B34" s="596" t="s">
        <v>316</v>
      </c>
      <c r="C34" s="596"/>
      <c r="D34" s="596"/>
      <c r="E34" s="596"/>
      <c r="F34" s="596"/>
    </row>
    <row r="35" spans="2:6" ht="21" customHeight="1" x14ac:dyDescent="0.2">
      <c r="B35" s="596" t="s">
        <v>274</v>
      </c>
      <c r="C35" s="596"/>
      <c r="D35" s="596"/>
      <c r="E35" s="596"/>
      <c r="F35" s="596"/>
    </row>
    <row r="36" spans="2:6" ht="21" customHeight="1" x14ac:dyDescent="0.2">
      <c r="B36" s="596" t="s">
        <v>317</v>
      </c>
      <c r="C36" s="596"/>
      <c r="D36" s="596"/>
      <c r="E36" s="596"/>
      <c r="F36" s="596"/>
    </row>
    <row r="37" spans="2:6" ht="29.1" customHeight="1" thickBot="1" x14ac:dyDescent="0.25">
      <c r="B37" s="514"/>
      <c r="C37" s="480"/>
      <c r="D37" s="480"/>
      <c r="E37" s="480"/>
      <c r="F37" s="480" t="s">
        <v>295</v>
      </c>
    </row>
    <row r="38" spans="2:6" ht="45.75" customHeight="1" thickBot="1" x14ac:dyDescent="0.25">
      <c r="B38" s="481" t="s">
        <v>1</v>
      </c>
      <c r="C38" s="482" t="s">
        <v>2</v>
      </c>
      <c r="D38" s="482" t="s">
        <v>65</v>
      </c>
      <c r="E38" s="482" t="s">
        <v>60</v>
      </c>
      <c r="F38" s="482" t="s">
        <v>61</v>
      </c>
    </row>
    <row r="39" spans="2:6" ht="15" customHeight="1" x14ac:dyDescent="0.25">
      <c r="B39" s="515" t="s">
        <v>296</v>
      </c>
      <c r="C39" s="494">
        <f t="shared" ref="C39:D39" si="2">SUM(C43-C40-C41)</f>
        <v>1894460</v>
      </c>
      <c r="D39" s="494">
        <f t="shared" si="2"/>
        <v>1892536</v>
      </c>
      <c r="E39" s="495">
        <v>910076</v>
      </c>
      <c r="F39" s="496">
        <f>E39/D39*100</f>
        <v>48.087645360510976</v>
      </c>
    </row>
    <row r="40" spans="2:6" ht="15" customHeight="1" x14ac:dyDescent="0.25">
      <c r="B40" s="515" t="s">
        <v>297</v>
      </c>
      <c r="C40" s="494">
        <v>447540</v>
      </c>
      <c r="D40" s="494">
        <v>447540</v>
      </c>
      <c r="E40" s="495">
        <v>282041.34999999998</v>
      </c>
      <c r="F40" s="496">
        <f t="shared" ref="F40:F71" si="3">E40/D40*100</f>
        <v>63.020366894579247</v>
      </c>
    </row>
    <row r="41" spans="2:6" ht="15" customHeight="1" x14ac:dyDescent="0.25">
      <c r="B41" s="515" t="s">
        <v>284</v>
      </c>
      <c r="C41" s="494">
        <v>0</v>
      </c>
      <c r="D41" s="494">
        <v>0</v>
      </c>
      <c r="E41" s="495">
        <v>0</v>
      </c>
      <c r="F41" s="496"/>
    </row>
    <row r="42" spans="2:6" ht="15" customHeight="1" x14ac:dyDescent="0.25">
      <c r="B42" s="515" t="s">
        <v>298</v>
      </c>
      <c r="C42" s="494">
        <v>0</v>
      </c>
      <c r="D42" s="494">
        <v>1924</v>
      </c>
      <c r="E42" s="495">
        <v>1924</v>
      </c>
      <c r="F42" s="496">
        <f t="shared" si="3"/>
        <v>100</v>
      </c>
    </row>
    <row r="43" spans="2:6" ht="15" customHeight="1" x14ac:dyDescent="0.2">
      <c r="B43" s="516" t="s">
        <v>299</v>
      </c>
      <c r="C43" s="517">
        <f t="shared" ref="C43:E43" si="4">SUM(C49+C53)</f>
        <v>2342000</v>
      </c>
      <c r="D43" s="517">
        <f t="shared" si="4"/>
        <v>2340076</v>
      </c>
      <c r="E43" s="518">
        <f t="shared" si="4"/>
        <v>904566</v>
      </c>
      <c r="F43" s="519">
        <f t="shared" si="3"/>
        <v>38.655411191773261</v>
      </c>
    </row>
    <row r="44" spans="2:6" ht="15" customHeight="1" x14ac:dyDescent="0.2">
      <c r="B44" s="520" t="s">
        <v>300</v>
      </c>
      <c r="C44" s="517">
        <f>SUM(C50+C57+C62+C67+C70)</f>
        <v>1411131</v>
      </c>
      <c r="D44" s="517">
        <f>SUM(D50+D57+D62+D67+D70)</f>
        <v>1411131</v>
      </c>
      <c r="E44" s="518">
        <v>521237</v>
      </c>
      <c r="F44" s="519">
        <f t="shared" si="3"/>
        <v>36.937534502466463</v>
      </c>
    </row>
    <row r="45" spans="2:6" ht="15" customHeight="1" x14ac:dyDescent="0.2">
      <c r="B45" s="516" t="s">
        <v>301</v>
      </c>
      <c r="C45" s="517">
        <v>0</v>
      </c>
      <c r="D45" s="517">
        <v>1924</v>
      </c>
      <c r="E45" s="518">
        <v>1923</v>
      </c>
      <c r="F45" s="519">
        <f t="shared" si="3"/>
        <v>99.948024948024951</v>
      </c>
    </row>
    <row r="46" spans="2:6" ht="15" customHeight="1" x14ac:dyDescent="0.2">
      <c r="B46" s="516" t="s">
        <v>302</v>
      </c>
      <c r="C46" s="499">
        <f>SUM(C52+C58+C63+C68+C71)</f>
        <v>392793</v>
      </c>
      <c r="D46" s="499">
        <f>SUM(D52+D58+D63+D68+D71)</f>
        <v>392793</v>
      </c>
      <c r="E46" s="500">
        <f>SUM(E52+E58+E63+E68+E71)</f>
        <v>250519</v>
      </c>
      <c r="F46" s="501">
        <f t="shared" si="3"/>
        <v>63.778886079945416</v>
      </c>
    </row>
    <row r="47" spans="2:6" ht="15" customHeight="1" x14ac:dyDescent="0.2">
      <c r="B47" s="520" t="s">
        <v>303</v>
      </c>
      <c r="C47" s="517">
        <v>15000</v>
      </c>
      <c r="D47" s="517">
        <v>15000</v>
      </c>
      <c r="E47" s="518">
        <v>15000</v>
      </c>
      <c r="F47" s="519">
        <f t="shared" si="3"/>
        <v>100</v>
      </c>
    </row>
    <row r="48" spans="2:6" ht="15" customHeight="1" x14ac:dyDescent="0.2">
      <c r="B48" s="521" t="s">
        <v>304</v>
      </c>
      <c r="C48" s="499"/>
      <c r="D48" s="499"/>
      <c r="E48" s="500"/>
      <c r="F48" s="501"/>
    </row>
    <row r="49" spans="2:6" ht="15" customHeight="1" x14ac:dyDescent="0.25">
      <c r="B49" s="516" t="s">
        <v>305</v>
      </c>
      <c r="C49" s="491">
        <v>252000</v>
      </c>
      <c r="D49" s="491">
        <v>250076</v>
      </c>
      <c r="E49" s="492">
        <v>97932</v>
      </c>
      <c r="F49" s="493">
        <f t="shared" si="3"/>
        <v>39.16089508789328</v>
      </c>
    </row>
    <row r="50" spans="2:6" ht="15" customHeight="1" x14ac:dyDescent="0.2">
      <c r="B50" s="520" t="s">
        <v>287</v>
      </c>
      <c r="C50" s="499">
        <v>137970</v>
      </c>
      <c r="D50" s="499">
        <v>137970</v>
      </c>
      <c r="E50" s="500">
        <v>49273</v>
      </c>
      <c r="F50" s="501">
        <f t="shared" si="3"/>
        <v>35.712836123795029</v>
      </c>
    </row>
    <row r="51" spans="2:6" ht="15" customHeight="1" x14ac:dyDescent="0.2">
      <c r="B51" s="520" t="s">
        <v>306</v>
      </c>
      <c r="C51" s="499">
        <v>0</v>
      </c>
      <c r="D51" s="499">
        <v>1924</v>
      </c>
      <c r="E51" s="500">
        <v>1923</v>
      </c>
      <c r="F51" s="501">
        <f t="shared" si="3"/>
        <v>99.948024948024951</v>
      </c>
    </row>
    <row r="52" spans="2:6" ht="15" customHeight="1" x14ac:dyDescent="0.2">
      <c r="B52" s="516" t="s">
        <v>307</v>
      </c>
      <c r="C52" s="499">
        <v>13333</v>
      </c>
      <c r="D52" s="499">
        <v>13333</v>
      </c>
      <c r="E52" s="500">
        <v>21087</v>
      </c>
      <c r="F52" s="501">
        <f t="shared" si="3"/>
        <v>158.1564539113478</v>
      </c>
    </row>
    <row r="53" spans="2:6" ht="15" customHeight="1" x14ac:dyDescent="0.2">
      <c r="B53" s="522" t="s">
        <v>308</v>
      </c>
      <c r="C53" s="523">
        <f>SUM(C55+C60+C65+C69)</f>
        <v>2090000</v>
      </c>
      <c r="D53" s="523">
        <f>SUM(D55+D60+D65+D69)</f>
        <v>2090000</v>
      </c>
      <c r="E53" s="524">
        <f>SUM(E55+E60+E65+E69)</f>
        <v>806634</v>
      </c>
      <c r="F53" s="525">
        <f t="shared" si="3"/>
        <v>38.594928229665072</v>
      </c>
    </row>
    <row r="54" spans="2:6" ht="15" customHeight="1" x14ac:dyDescent="0.2">
      <c r="B54" s="521" t="s">
        <v>309</v>
      </c>
      <c r="C54" s="499"/>
      <c r="D54" s="499"/>
      <c r="E54" s="500"/>
      <c r="F54" s="501"/>
    </row>
    <row r="55" spans="2:6" ht="15" customHeight="1" x14ac:dyDescent="0.25">
      <c r="B55" s="516" t="s">
        <v>305</v>
      </c>
      <c r="C55" s="491">
        <v>1145530</v>
      </c>
      <c r="D55" s="491">
        <v>1145530</v>
      </c>
      <c r="E55" s="492">
        <v>494206</v>
      </c>
      <c r="F55" s="493">
        <f t="shared" si="3"/>
        <v>43.142126351994278</v>
      </c>
    </row>
    <row r="56" spans="2:6" ht="15" customHeight="1" x14ac:dyDescent="0.2">
      <c r="B56" s="516" t="s">
        <v>310</v>
      </c>
      <c r="C56" s="499">
        <v>371764</v>
      </c>
      <c r="D56" s="499">
        <v>371764</v>
      </c>
      <c r="E56" s="500">
        <v>177699</v>
      </c>
      <c r="F56" s="501">
        <f t="shared" si="3"/>
        <v>47.798872402922285</v>
      </c>
    </row>
    <row r="57" spans="2:6" ht="15" customHeight="1" x14ac:dyDescent="0.2">
      <c r="B57" s="520" t="s">
        <v>287</v>
      </c>
      <c r="C57" s="499">
        <v>669289</v>
      </c>
      <c r="D57" s="499">
        <v>669289</v>
      </c>
      <c r="E57" s="500">
        <v>268508</v>
      </c>
      <c r="F57" s="501">
        <f t="shared" si="3"/>
        <v>40.118394296036541</v>
      </c>
    </row>
    <row r="58" spans="2:6" ht="15" customHeight="1" x14ac:dyDescent="0.2">
      <c r="B58" s="516" t="s">
        <v>307</v>
      </c>
      <c r="C58" s="499">
        <v>288360</v>
      </c>
      <c r="D58" s="499">
        <v>288360</v>
      </c>
      <c r="E58" s="500">
        <v>144155</v>
      </c>
      <c r="F58" s="501">
        <f t="shared" si="3"/>
        <v>49.991330281592454</v>
      </c>
    </row>
    <row r="59" spans="2:6" ht="15" customHeight="1" x14ac:dyDescent="0.2">
      <c r="B59" s="521" t="s">
        <v>311</v>
      </c>
      <c r="C59" s="499"/>
      <c r="D59" s="499"/>
      <c r="E59" s="500"/>
      <c r="F59" s="501"/>
    </row>
    <row r="60" spans="2:6" ht="15" customHeight="1" x14ac:dyDescent="0.25">
      <c r="B60" s="516" t="s">
        <v>312</v>
      </c>
      <c r="C60" s="491">
        <v>807000</v>
      </c>
      <c r="D60" s="491">
        <v>807000</v>
      </c>
      <c r="E60" s="492">
        <v>283151</v>
      </c>
      <c r="F60" s="493">
        <f t="shared" si="3"/>
        <v>35.086864931846343</v>
      </c>
    </row>
    <row r="61" spans="2:6" ht="15" customHeight="1" x14ac:dyDescent="0.2">
      <c r="B61" s="516" t="s">
        <v>313</v>
      </c>
      <c r="C61" s="499">
        <v>15000</v>
      </c>
      <c r="D61" s="499">
        <v>15000</v>
      </c>
      <c r="E61" s="500">
        <v>15000</v>
      </c>
      <c r="F61" s="501">
        <f t="shared" si="3"/>
        <v>100</v>
      </c>
    </row>
    <row r="62" spans="2:6" ht="15" customHeight="1" x14ac:dyDescent="0.2">
      <c r="B62" s="520" t="s">
        <v>287</v>
      </c>
      <c r="C62" s="499">
        <v>549572</v>
      </c>
      <c r="D62" s="499">
        <v>549572</v>
      </c>
      <c r="E62" s="500">
        <v>189059</v>
      </c>
      <c r="F62" s="501">
        <f t="shared" si="3"/>
        <v>34.401133973346532</v>
      </c>
    </row>
    <row r="63" spans="2:6" ht="15" customHeight="1" x14ac:dyDescent="0.2">
      <c r="B63" s="516" t="s">
        <v>307</v>
      </c>
      <c r="C63" s="499">
        <v>85000</v>
      </c>
      <c r="D63" s="499">
        <v>85000</v>
      </c>
      <c r="E63" s="500">
        <v>81146</v>
      </c>
      <c r="F63" s="501">
        <f t="shared" si="3"/>
        <v>95.465882352941179</v>
      </c>
    </row>
    <row r="64" spans="2:6" ht="15" customHeight="1" x14ac:dyDescent="0.2">
      <c r="B64" s="515" t="s">
        <v>314</v>
      </c>
      <c r="C64" s="499"/>
      <c r="D64" s="499"/>
      <c r="E64" s="500"/>
      <c r="F64" s="501"/>
    </row>
    <row r="65" spans="2:9" ht="15" customHeight="1" x14ac:dyDescent="0.25">
      <c r="B65" s="516" t="s">
        <v>305</v>
      </c>
      <c r="C65" s="491">
        <v>132000</v>
      </c>
      <c r="D65" s="491">
        <v>132000</v>
      </c>
      <c r="E65" s="492">
        <v>29277</v>
      </c>
      <c r="F65" s="493">
        <f t="shared" si="3"/>
        <v>22.179545454545455</v>
      </c>
    </row>
    <row r="66" spans="2:9" ht="15" customHeight="1" x14ac:dyDescent="0.2">
      <c r="B66" s="516" t="s">
        <v>310</v>
      </c>
      <c r="C66" s="499">
        <v>60776</v>
      </c>
      <c r="D66" s="499">
        <v>60776</v>
      </c>
      <c r="E66" s="500">
        <v>19313</v>
      </c>
      <c r="F66" s="501">
        <f t="shared" si="3"/>
        <v>31.777346320916148</v>
      </c>
    </row>
    <row r="67" spans="2:9" ht="15" customHeight="1" x14ac:dyDescent="0.2">
      <c r="B67" s="520" t="s">
        <v>287</v>
      </c>
      <c r="C67" s="499">
        <v>54300</v>
      </c>
      <c r="D67" s="499">
        <v>54300</v>
      </c>
      <c r="E67" s="500">
        <v>14397</v>
      </c>
      <c r="F67" s="501">
        <f t="shared" si="3"/>
        <v>26.513812154696133</v>
      </c>
    </row>
    <row r="68" spans="2:9" ht="15" customHeight="1" x14ac:dyDescent="0.2">
      <c r="B68" s="516" t="s">
        <v>307</v>
      </c>
      <c r="C68" s="526">
        <v>5100</v>
      </c>
      <c r="D68" s="526">
        <v>5100</v>
      </c>
      <c r="E68" s="527">
        <v>4103</v>
      </c>
      <c r="F68" s="528">
        <f t="shared" si="3"/>
        <v>80.450980392156865</v>
      </c>
    </row>
    <row r="69" spans="2:9" s="533" customFormat="1" ht="15" customHeight="1" x14ac:dyDescent="0.25">
      <c r="B69" s="529" t="s">
        <v>315</v>
      </c>
      <c r="C69" s="530">
        <v>5470</v>
      </c>
      <c r="D69" s="530">
        <v>5470</v>
      </c>
      <c r="E69" s="531">
        <v>0</v>
      </c>
      <c r="F69" s="532">
        <f t="shared" si="3"/>
        <v>0</v>
      </c>
      <c r="H69" s="534"/>
      <c r="I69" s="534"/>
    </row>
    <row r="70" spans="2:9" s="533" customFormat="1" ht="15" customHeight="1" x14ac:dyDescent="0.2">
      <c r="B70" s="535" t="s">
        <v>287</v>
      </c>
      <c r="C70" s="526">
        <v>0</v>
      </c>
      <c r="D70" s="526">
        <v>0</v>
      </c>
      <c r="E70" s="527">
        <v>0</v>
      </c>
      <c r="F70" s="528"/>
      <c r="H70" s="534"/>
      <c r="I70" s="534"/>
    </row>
    <row r="71" spans="2:9" ht="15" customHeight="1" thickBot="1" x14ac:dyDescent="0.25">
      <c r="B71" s="536" t="s">
        <v>307</v>
      </c>
      <c r="C71" s="537">
        <v>1000</v>
      </c>
      <c r="D71" s="537">
        <v>1000</v>
      </c>
      <c r="E71" s="538">
        <v>28</v>
      </c>
      <c r="F71" s="539">
        <f t="shared" si="3"/>
        <v>2.8000000000000003</v>
      </c>
    </row>
    <row r="72" spans="2:9" ht="17.45" customHeight="1" x14ac:dyDescent="0.2">
      <c r="B72" s="512"/>
      <c r="C72" s="513"/>
      <c r="D72" s="513"/>
      <c r="E72" s="513"/>
      <c r="F72" s="513"/>
    </row>
  </sheetData>
  <sheetProtection sheet="1" objects="1" scenarios="1"/>
  <mergeCells count="6">
    <mergeCell ref="B35:F35"/>
    <mergeCell ref="B36:F36"/>
    <mergeCell ref="B2:F2"/>
    <mergeCell ref="B3:F3"/>
    <mergeCell ref="B4:F4"/>
    <mergeCell ref="B34:F34"/>
  </mergeCells>
  <pageMargins left="0.78740157480314965" right="0.59055118110236227" top="0.19685039370078741" bottom="0.19685039370078741" header="0.51181102362204722" footer="0.51181102362204722"/>
  <pageSetup paperSize="9" scale="85" orientation="landscape" r:id="rId1"/>
  <headerFooter alignWithMargins="0"/>
  <rowBreaks count="1" manualBreakCount="1">
    <brk id="3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55662-1123-49E3-A6E7-45630DBA2934}">
  <dimension ref="A3:I373"/>
  <sheetViews>
    <sheetView topLeftCell="A58" workbookViewId="0">
      <selection activeCell="H312" sqref="H312"/>
    </sheetView>
  </sheetViews>
  <sheetFormatPr defaultRowHeight="15" x14ac:dyDescent="0.25"/>
  <cols>
    <col min="1" max="1" width="31.140625" customWidth="1"/>
    <col min="2" max="4" width="12.28515625" customWidth="1"/>
    <col min="5" max="5" width="9.7109375" customWidth="1"/>
    <col min="6" max="8" width="12.28515625" customWidth="1"/>
    <col min="9" max="9" width="9.7109375" customWidth="1"/>
  </cols>
  <sheetData>
    <row r="3" spans="1:9" ht="20.25" x14ac:dyDescent="0.25">
      <c r="A3" s="603" t="s">
        <v>201</v>
      </c>
      <c r="B3" s="603"/>
      <c r="C3" s="603"/>
      <c r="D3" s="603"/>
      <c r="E3" s="603"/>
      <c r="F3" s="603"/>
      <c r="G3" s="603"/>
      <c r="H3" s="603"/>
      <c r="I3" s="603"/>
    </row>
    <row r="4" spans="1:9" ht="20.25" x14ac:dyDescent="0.25">
      <c r="A4" s="603" t="s">
        <v>202</v>
      </c>
      <c r="B4" s="603"/>
      <c r="C4" s="603"/>
      <c r="D4" s="603"/>
      <c r="E4" s="603"/>
      <c r="F4" s="603"/>
      <c r="G4" s="603"/>
      <c r="H4" s="603"/>
      <c r="I4" s="603"/>
    </row>
    <row r="6" spans="1:9" ht="15.6" customHeight="1" x14ac:dyDescent="0.25"/>
    <row r="7" spans="1:9" x14ac:dyDescent="0.25">
      <c r="H7" s="597" t="s">
        <v>203</v>
      </c>
      <c r="I7" s="597"/>
    </row>
    <row r="8" spans="1:9" ht="15.75" thickBot="1" x14ac:dyDescent="0.3">
      <c r="H8" s="190"/>
      <c r="I8" s="191" t="s">
        <v>204</v>
      </c>
    </row>
    <row r="9" spans="1:9" s="192" customFormat="1" ht="20.100000000000001" customHeight="1" thickBot="1" x14ac:dyDescent="0.3">
      <c r="A9" s="598" t="s">
        <v>205</v>
      </c>
      <c r="B9" s="600" t="s">
        <v>206</v>
      </c>
      <c r="C9" s="601"/>
      <c r="D9" s="601"/>
      <c r="E9" s="602"/>
      <c r="F9" s="600" t="s">
        <v>207</v>
      </c>
      <c r="G9" s="601"/>
      <c r="H9" s="601"/>
      <c r="I9" s="602"/>
    </row>
    <row r="10" spans="1:9" s="192" customFormat="1" ht="49.15" customHeight="1" thickBot="1" x14ac:dyDescent="0.3">
      <c r="A10" s="599"/>
      <c r="B10" s="193" t="s">
        <v>2</v>
      </c>
      <c r="C10" s="194" t="s">
        <v>208</v>
      </c>
      <c r="D10" s="195" t="s">
        <v>209</v>
      </c>
      <c r="E10" s="196" t="s">
        <v>61</v>
      </c>
      <c r="F10" s="193" t="s">
        <v>2</v>
      </c>
      <c r="G10" s="194" t="s">
        <v>208</v>
      </c>
      <c r="H10" s="195" t="s">
        <v>209</v>
      </c>
      <c r="I10" s="196" t="s">
        <v>61</v>
      </c>
    </row>
    <row r="11" spans="1:9" s="192" customFormat="1" ht="22.5" customHeight="1" thickBot="1" x14ac:dyDescent="0.3">
      <c r="A11" s="197" t="s">
        <v>210</v>
      </c>
      <c r="B11" s="198">
        <f>SUM(B12:B16)</f>
        <v>196008</v>
      </c>
      <c r="C11" s="199">
        <f>SUM(C12:C16)</f>
        <v>196008</v>
      </c>
      <c r="D11" s="199">
        <f>SUM(D12:D16)</f>
        <v>103710.76999999999</v>
      </c>
      <c r="E11" s="200">
        <f>D11/C11*100</f>
        <v>52.911498510264884</v>
      </c>
      <c r="F11" s="198">
        <f>SUM(F12:F16)</f>
        <v>152406</v>
      </c>
      <c r="G11" s="199">
        <f>SUM(G12:G16)</f>
        <v>152406</v>
      </c>
      <c r="H11" s="199">
        <f>SUM(H12:H16)</f>
        <v>106994.14000000001</v>
      </c>
      <c r="I11" s="200">
        <f>H11/G11*100</f>
        <v>70.203364696927949</v>
      </c>
    </row>
    <row r="12" spans="1:9" s="192" customFormat="1" ht="15" customHeight="1" x14ac:dyDescent="0.25">
      <c r="A12" s="201" t="s">
        <v>211</v>
      </c>
      <c r="B12" s="202">
        <v>116000</v>
      </c>
      <c r="C12" s="203">
        <v>116000</v>
      </c>
      <c r="D12" s="437">
        <v>58120</v>
      </c>
      <c r="E12" s="204">
        <f t="shared" ref="E12:E50" si="0">D12/C12*100</f>
        <v>50.103448275862071</v>
      </c>
      <c r="F12" s="205">
        <v>96020</v>
      </c>
      <c r="G12" s="206">
        <v>96020</v>
      </c>
      <c r="H12" s="440">
        <v>60597</v>
      </c>
      <c r="I12" s="207">
        <f>H12/G12*100</f>
        <v>63.108727348469074</v>
      </c>
    </row>
    <row r="13" spans="1:9" s="192" customFormat="1" ht="14.25" customHeight="1" x14ac:dyDescent="0.25">
      <c r="A13" s="208" t="s">
        <v>212</v>
      </c>
      <c r="B13" s="209">
        <v>55000</v>
      </c>
      <c r="C13" s="210">
        <v>55000</v>
      </c>
      <c r="D13" s="438">
        <v>33136.5</v>
      </c>
      <c r="E13" s="211">
        <f t="shared" si="0"/>
        <v>60.24818181818182</v>
      </c>
      <c r="F13" s="209">
        <v>40000</v>
      </c>
      <c r="G13" s="210">
        <v>40000</v>
      </c>
      <c r="H13" s="438">
        <v>25488.5</v>
      </c>
      <c r="I13" s="212">
        <f t="shared" ref="I13:I30" si="1">H13/G13*100</f>
        <v>63.721249999999998</v>
      </c>
    </row>
    <row r="14" spans="1:9" s="192" customFormat="1" ht="15.75" customHeight="1" x14ac:dyDescent="0.25">
      <c r="A14" s="213" t="s">
        <v>213</v>
      </c>
      <c r="B14" s="209">
        <v>4846</v>
      </c>
      <c r="C14" s="210">
        <v>4846</v>
      </c>
      <c r="D14" s="438">
        <v>4599.4799999999996</v>
      </c>
      <c r="E14" s="211">
        <f t="shared" si="0"/>
        <v>94.912917870408577</v>
      </c>
      <c r="F14" s="209">
        <v>6386</v>
      </c>
      <c r="G14" s="210">
        <v>6386</v>
      </c>
      <c r="H14" s="438">
        <v>10432.129999999999</v>
      </c>
      <c r="I14" s="212">
        <f t="shared" si="1"/>
        <v>163.35937989351706</v>
      </c>
    </row>
    <row r="15" spans="1:9" s="192" customFormat="1" ht="14.25" customHeight="1" x14ac:dyDescent="0.25">
      <c r="A15" s="208" t="s">
        <v>214</v>
      </c>
      <c r="B15" s="209">
        <v>20160</v>
      </c>
      <c r="C15" s="210">
        <v>20160</v>
      </c>
      <c r="D15" s="438">
        <v>7854.79</v>
      </c>
      <c r="E15" s="211">
        <f t="shared" si="0"/>
        <v>38.962251984126986</v>
      </c>
      <c r="F15" s="209">
        <v>10000</v>
      </c>
      <c r="G15" s="210">
        <v>10000</v>
      </c>
      <c r="H15" s="438">
        <v>6404.13</v>
      </c>
      <c r="I15" s="212">
        <f t="shared" si="1"/>
        <v>64.041300000000007</v>
      </c>
    </row>
    <row r="16" spans="1:9" s="192" customFormat="1" ht="15.75" customHeight="1" thickBot="1" x14ac:dyDescent="0.3">
      <c r="A16" s="208" t="s">
        <v>215</v>
      </c>
      <c r="B16" s="214">
        <v>2</v>
      </c>
      <c r="C16" s="215">
        <v>2</v>
      </c>
      <c r="D16" s="439">
        <v>0</v>
      </c>
      <c r="E16" s="216">
        <f t="shared" si="0"/>
        <v>0</v>
      </c>
      <c r="F16" s="217">
        <v>0</v>
      </c>
      <c r="G16" s="218">
        <v>0</v>
      </c>
      <c r="H16" s="441">
        <f>0.65+90.01+23.39+46.12+2762.76+700+449.45</f>
        <v>4072.38</v>
      </c>
      <c r="I16" s="219"/>
    </row>
    <row r="17" spans="1:9" s="192" customFormat="1" ht="20.25" customHeight="1" thickBot="1" x14ac:dyDescent="0.3">
      <c r="A17" s="197" t="s">
        <v>216</v>
      </c>
      <c r="B17" s="220">
        <f>B18+B41+B42</f>
        <v>1576043</v>
      </c>
      <c r="C17" s="221">
        <f>C18+C41+C42</f>
        <v>1742076</v>
      </c>
      <c r="D17" s="221">
        <f>D18+D41+D42</f>
        <v>810797.66</v>
      </c>
      <c r="E17" s="222">
        <f t="shared" si="0"/>
        <v>46.542037201591668</v>
      </c>
      <c r="F17" s="220">
        <f>F18+F41+F42</f>
        <v>1294062</v>
      </c>
      <c r="G17" s="221">
        <f>G18+G41+G42</f>
        <v>1488401</v>
      </c>
      <c r="H17" s="221">
        <f>H18+H41+H42</f>
        <v>786911.5299999998</v>
      </c>
      <c r="I17" s="222">
        <f t="shared" si="1"/>
        <v>52.869591595275722</v>
      </c>
    </row>
    <row r="18" spans="1:9" s="192" customFormat="1" ht="16.5" customHeight="1" thickBot="1" x14ac:dyDescent="0.3">
      <c r="A18" s="223" t="s">
        <v>217</v>
      </c>
      <c r="B18" s="224">
        <f>B23+B39+B40</f>
        <v>1576043</v>
      </c>
      <c r="C18" s="225">
        <f>C23+C39+C40</f>
        <v>1742076</v>
      </c>
      <c r="D18" s="442">
        <f>D23+D39+D40</f>
        <v>810797.66</v>
      </c>
      <c r="E18" s="226">
        <f t="shared" si="0"/>
        <v>46.542037201591668</v>
      </c>
      <c r="F18" s="224">
        <f>F23+F39+F40</f>
        <v>1294062</v>
      </c>
      <c r="G18" s="225">
        <f>G23+G39+G40</f>
        <v>1487701</v>
      </c>
      <c r="H18" s="442">
        <f>H23+H39+H40</f>
        <v>783207.80999999982</v>
      </c>
      <c r="I18" s="227">
        <f t="shared" si="1"/>
        <v>52.645512102230207</v>
      </c>
    </row>
    <row r="19" spans="1:9" s="192" customFormat="1" ht="19.5" customHeight="1" x14ac:dyDescent="0.25">
      <c r="A19" s="228" t="s">
        <v>218</v>
      </c>
      <c r="B19" s="202">
        <v>1321872</v>
      </c>
      <c r="C19" s="229">
        <v>1479758</v>
      </c>
      <c r="D19" s="437">
        <v>616286.12</v>
      </c>
      <c r="E19" s="230">
        <f t="shared" si="0"/>
        <v>41.647764026279972</v>
      </c>
      <c r="F19" s="205">
        <v>1101428</v>
      </c>
      <c r="G19" s="206">
        <v>1195361</v>
      </c>
      <c r="H19" s="440">
        <v>539547.59</v>
      </c>
      <c r="I19" s="207">
        <f t="shared" si="1"/>
        <v>45.136790475847874</v>
      </c>
    </row>
    <row r="20" spans="1:9" s="192" customFormat="1" ht="17.25" customHeight="1" x14ac:dyDescent="0.25">
      <c r="A20" s="231" t="s">
        <v>219</v>
      </c>
      <c r="B20" s="209">
        <v>254171</v>
      </c>
      <c r="C20" s="232">
        <v>181846</v>
      </c>
      <c r="D20" s="438">
        <v>62950.12</v>
      </c>
      <c r="E20" s="233">
        <f t="shared" si="0"/>
        <v>34.617269557757666</v>
      </c>
      <c r="F20" s="209">
        <v>192634</v>
      </c>
      <c r="G20" s="210">
        <v>159087</v>
      </c>
      <c r="H20" s="438">
        <v>46662.98</v>
      </c>
      <c r="I20" s="212">
        <f t="shared" si="1"/>
        <v>29.331736722673757</v>
      </c>
    </row>
    <row r="21" spans="1:9" s="192" customFormat="1" ht="17.25" customHeight="1" x14ac:dyDescent="0.25">
      <c r="A21" s="231" t="s">
        <v>220</v>
      </c>
      <c r="B21" s="234">
        <v>0</v>
      </c>
      <c r="C21" s="235">
        <v>0</v>
      </c>
      <c r="D21" s="438">
        <f>91506.81+1150</f>
        <v>92656.81</v>
      </c>
      <c r="E21" s="233"/>
      <c r="F21" s="234">
        <v>0</v>
      </c>
      <c r="G21" s="235">
        <v>0</v>
      </c>
      <c r="H21" s="438">
        <f>110923.37+4705.68</f>
        <v>115629.04999999999</v>
      </c>
      <c r="I21" s="212"/>
    </row>
    <row r="22" spans="1:9" s="192" customFormat="1" ht="17.25" customHeight="1" thickBot="1" x14ac:dyDescent="0.3">
      <c r="A22" s="236" t="s">
        <v>221</v>
      </c>
      <c r="B22" s="237">
        <v>0</v>
      </c>
      <c r="C22" s="238">
        <v>0</v>
      </c>
      <c r="D22" s="439">
        <v>0</v>
      </c>
      <c r="E22" s="239"/>
      <c r="F22" s="217">
        <v>0</v>
      </c>
      <c r="G22" s="240">
        <v>0</v>
      </c>
      <c r="H22" s="441">
        <v>0</v>
      </c>
      <c r="I22" s="219"/>
    </row>
    <row r="23" spans="1:9" s="192" customFormat="1" ht="24" customHeight="1" thickBot="1" x14ac:dyDescent="0.3">
      <c r="A23" s="241" t="s">
        <v>222</v>
      </c>
      <c r="B23" s="224">
        <f>SUM(B19:B22)</f>
        <v>1576043</v>
      </c>
      <c r="C23" s="225">
        <f t="shared" ref="C23:D23" si="2">SUM(C19:C22)</f>
        <v>1661604</v>
      </c>
      <c r="D23" s="442">
        <f t="shared" si="2"/>
        <v>771893.05</v>
      </c>
      <c r="E23" s="226">
        <f t="shared" si="0"/>
        <v>46.454693777819507</v>
      </c>
      <c r="F23" s="224">
        <f>SUM(F19:F22)</f>
        <v>1294062</v>
      </c>
      <c r="G23" s="225">
        <f t="shared" ref="G23:H23" si="3">SUM(G19:G22)</f>
        <v>1354448</v>
      </c>
      <c r="H23" s="442">
        <f t="shared" si="3"/>
        <v>701839.61999999988</v>
      </c>
      <c r="I23" s="227">
        <f t="shared" si="1"/>
        <v>51.817391291507676</v>
      </c>
    </row>
    <row r="24" spans="1:9" s="192" customFormat="1" ht="16.5" customHeight="1" x14ac:dyDescent="0.25">
      <c r="A24" s="242" t="s">
        <v>223</v>
      </c>
      <c r="B24" s="243">
        <v>0</v>
      </c>
      <c r="C24" s="244">
        <v>5088</v>
      </c>
      <c r="D24" s="443">
        <v>1811</v>
      </c>
      <c r="E24" s="233">
        <f t="shared" si="0"/>
        <v>35.593553459119498</v>
      </c>
      <c r="F24" s="245">
        <v>0</v>
      </c>
      <c r="G24" s="246">
        <v>16960</v>
      </c>
      <c r="H24" s="440">
        <v>9106.5</v>
      </c>
      <c r="I24" s="207">
        <f t="shared" si="1"/>
        <v>53.693985849056602</v>
      </c>
    </row>
    <row r="25" spans="1:9" s="192" customFormat="1" ht="16.5" customHeight="1" x14ac:dyDescent="0.25">
      <c r="A25" s="247" t="s">
        <v>224</v>
      </c>
      <c r="B25" s="234">
        <v>0</v>
      </c>
      <c r="C25" s="248">
        <v>0</v>
      </c>
      <c r="D25" s="438">
        <v>0</v>
      </c>
      <c r="E25" s="233"/>
      <c r="F25" s="234">
        <v>0</v>
      </c>
      <c r="G25" s="235">
        <v>4414</v>
      </c>
      <c r="H25" s="438">
        <v>5726</v>
      </c>
      <c r="I25" s="249">
        <f t="shared" si="1"/>
        <v>129.72360670593565</v>
      </c>
    </row>
    <row r="26" spans="1:9" s="192" customFormat="1" ht="13.5" customHeight="1" x14ac:dyDescent="0.25">
      <c r="A26" s="247" t="s">
        <v>225</v>
      </c>
      <c r="B26" s="234">
        <v>0</v>
      </c>
      <c r="C26" s="248">
        <v>22832</v>
      </c>
      <c r="D26" s="438">
        <v>15069.61</v>
      </c>
      <c r="E26" s="233">
        <f t="shared" si="0"/>
        <v>66.002146110721796</v>
      </c>
      <c r="F26" s="234">
        <v>0</v>
      </c>
      <c r="G26" s="235">
        <v>33106</v>
      </c>
      <c r="H26" s="438">
        <v>18230</v>
      </c>
      <c r="I26" s="249">
        <f t="shared" si="1"/>
        <v>55.06554703074972</v>
      </c>
    </row>
    <row r="27" spans="1:9" s="192" customFormat="1" ht="15.75" customHeight="1" x14ac:dyDescent="0.25">
      <c r="A27" s="250" t="s">
        <v>226</v>
      </c>
      <c r="B27" s="234">
        <v>0</v>
      </c>
      <c r="C27" s="248">
        <v>10950</v>
      </c>
      <c r="D27" s="438">
        <v>6000</v>
      </c>
      <c r="E27" s="233">
        <f t="shared" si="0"/>
        <v>54.794520547945204</v>
      </c>
      <c r="F27" s="234">
        <v>0</v>
      </c>
      <c r="G27" s="235">
        <v>6750</v>
      </c>
      <c r="H27" s="438">
        <v>4200</v>
      </c>
      <c r="I27" s="249">
        <f t="shared" si="1"/>
        <v>62.222222222222221</v>
      </c>
    </row>
    <row r="28" spans="1:9" s="192" customFormat="1" ht="16.5" customHeight="1" x14ac:dyDescent="0.25">
      <c r="A28" s="247" t="s">
        <v>227</v>
      </c>
      <c r="B28" s="234">
        <v>0</v>
      </c>
      <c r="C28" s="248">
        <v>0</v>
      </c>
      <c r="D28" s="438">
        <v>0</v>
      </c>
      <c r="E28" s="233"/>
      <c r="F28" s="234">
        <v>0</v>
      </c>
      <c r="G28" s="235">
        <v>200</v>
      </c>
      <c r="H28" s="438">
        <v>200</v>
      </c>
      <c r="I28" s="249">
        <f t="shared" si="1"/>
        <v>100</v>
      </c>
    </row>
    <row r="29" spans="1:9" s="192" customFormat="1" ht="14.25" customHeight="1" x14ac:dyDescent="0.25">
      <c r="A29" s="250" t="s">
        <v>228</v>
      </c>
      <c r="B29" s="234">
        <v>0</v>
      </c>
      <c r="C29" s="248">
        <v>17308</v>
      </c>
      <c r="D29" s="438">
        <v>0</v>
      </c>
      <c r="E29" s="233">
        <f t="shared" si="0"/>
        <v>0</v>
      </c>
      <c r="F29" s="234">
        <v>0</v>
      </c>
      <c r="G29" s="235">
        <v>14351</v>
      </c>
      <c r="H29" s="438">
        <v>0</v>
      </c>
      <c r="I29" s="249">
        <f t="shared" si="1"/>
        <v>0</v>
      </c>
    </row>
    <row r="30" spans="1:9" s="192" customFormat="1" ht="16.5" customHeight="1" x14ac:dyDescent="0.25">
      <c r="A30" s="250" t="s">
        <v>229</v>
      </c>
      <c r="B30" s="234">
        <v>0</v>
      </c>
      <c r="C30" s="248">
        <v>11100</v>
      </c>
      <c r="D30" s="438">
        <v>9200</v>
      </c>
      <c r="E30" s="233">
        <f t="shared" si="0"/>
        <v>82.882882882882882</v>
      </c>
      <c r="F30" s="234">
        <v>0</v>
      </c>
      <c r="G30" s="235">
        <v>7100</v>
      </c>
      <c r="H30" s="438">
        <v>4800</v>
      </c>
      <c r="I30" s="249">
        <f t="shared" si="1"/>
        <v>67.605633802816897</v>
      </c>
    </row>
    <row r="31" spans="1:9" s="192" customFormat="1" ht="15" customHeight="1" x14ac:dyDescent="0.25">
      <c r="A31" s="247" t="s">
        <v>230</v>
      </c>
      <c r="B31" s="234">
        <v>0</v>
      </c>
      <c r="C31" s="248">
        <v>0</v>
      </c>
      <c r="D31" s="438">
        <v>0</v>
      </c>
      <c r="E31" s="233"/>
      <c r="F31" s="234">
        <v>0</v>
      </c>
      <c r="G31" s="235">
        <v>0</v>
      </c>
      <c r="H31" s="438">
        <v>0</v>
      </c>
      <c r="I31" s="249"/>
    </row>
    <row r="32" spans="1:9" s="192" customFormat="1" ht="15" customHeight="1" x14ac:dyDescent="0.25">
      <c r="A32" s="247" t="s">
        <v>231</v>
      </c>
      <c r="B32" s="234">
        <v>0</v>
      </c>
      <c r="C32" s="248">
        <v>0</v>
      </c>
      <c r="D32" s="438">
        <v>0</v>
      </c>
      <c r="E32" s="233"/>
      <c r="F32" s="234">
        <v>0</v>
      </c>
      <c r="G32" s="235">
        <v>0</v>
      </c>
      <c r="H32" s="438">
        <v>0</v>
      </c>
      <c r="I32" s="249"/>
    </row>
    <row r="33" spans="1:9" s="192" customFormat="1" ht="15" customHeight="1" x14ac:dyDescent="0.25">
      <c r="A33" s="251" t="s">
        <v>232</v>
      </c>
      <c r="B33" s="234">
        <v>0</v>
      </c>
      <c r="C33" s="248">
        <v>0</v>
      </c>
      <c r="D33" s="438">
        <v>0</v>
      </c>
      <c r="E33" s="233"/>
      <c r="F33" s="234">
        <v>0</v>
      </c>
      <c r="G33" s="235">
        <v>0</v>
      </c>
      <c r="H33" s="438">
        <v>0</v>
      </c>
      <c r="I33" s="249"/>
    </row>
    <row r="34" spans="1:9" s="192" customFormat="1" ht="15" customHeight="1" x14ac:dyDescent="0.25">
      <c r="A34" s="251" t="s">
        <v>233</v>
      </c>
      <c r="B34" s="234">
        <v>0</v>
      </c>
      <c r="C34" s="248">
        <v>0</v>
      </c>
      <c r="D34" s="438">
        <v>0</v>
      </c>
      <c r="E34" s="233"/>
      <c r="F34" s="234">
        <v>0</v>
      </c>
      <c r="G34" s="235">
        <v>0</v>
      </c>
      <c r="H34" s="438">
        <v>0</v>
      </c>
      <c r="I34" s="249"/>
    </row>
    <row r="35" spans="1:9" s="192" customFormat="1" ht="16.5" customHeight="1" x14ac:dyDescent="0.25">
      <c r="A35" s="251" t="s">
        <v>234</v>
      </c>
      <c r="B35" s="234">
        <v>0</v>
      </c>
      <c r="C35" s="252">
        <v>0</v>
      </c>
      <c r="D35" s="444">
        <v>0</v>
      </c>
      <c r="E35" s="233"/>
      <c r="F35" s="234">
        <v>0</v>
      </c>
      <c r="G35" s="253">
        <v>0</v>
      </c>
      <c r="H35" s="444">
        <v>0</v>
      </c>
      <c r="I35" s="212"/>
    </row>
    <row r="36" spans="1:9" s="192" customFormat="1" ht="16.5" customHeight="1" x14ac:dyDescent="0.25">
      <c r="A36" s="254" t="s">
        <v>235</v>
      </c>
      <c r="B36" s="234">
        <v>0</v>
      </c>
      <c r="C36" s="248">
        <v>13194</v>
      </c>
      <c r="D36" s="438">
        <v>352</v>
      </c>
      <c r="E36" s="233">
        <f t="shared" si="0"/>
        <v>2.6678793390935271</v>
      </c>
      <c r="F36" s="255">
        <v>0</v>
      </c>
      <c r="G36" s="235">
        <v>37538</v>
      </c>
      <c r="H36" s="438">
        <v>0</v>
      </c>
      <c r="I36" s="212">
        <f>H36/G36*100</f>
        <v>0</v>
      </c>
    </row>
    <row r="37" spans="1:9" s="192" customFormat="1" ht="16.5" customHeight="1" x14ac:dyDescent="0.25">
      <c r="A37" s="254" t="s">
        <v>236</v>
      </c>
      <c r="B37" s="234">
        <v>0</v>
      </c>
      <c r="C37" s="248">
        <v>0</v>
      </c>
      <c r="D37" s="438">
        <v>0</v>
      </c>
      <c r="E37" s="233"/>
      <c r="F37" s="255">
        <v>0</v>
      </c>
      <c r="G37" s="235">
        <v>12834</v>
      </c>
      <c r="H37" s="438">
        <v>6417</v>
      </c>
      <c r="I37" s="212">
        <f>H37/G37*100</f>
        <v>50</v>
      </c>
    </row>
    <row r="38" spans="1:9" s="192" customFormat="1" ht="16.5" customHeight="1" thickBot="1" x14ac:dyDescent="0.3">
      <c r="A38" s="256" t="s">
        <v>237</v>
      </c>
      <c r="B38" s="237">
        <v>0</v>
      </c>
      <c r="C38" s="257">
        <v>0</v>
      </c>
      <c r="D38" s="439">
        <v>0</v>
      </c>
      <c r="E38" s="239"/>
      <c r="F38" s="258">
        <v>0</v>
      </c>
      <c r="G38" s="238">
        <v>0</v>
      </c>
      <c r="H38" s="439">
        <v>0</v>
      </c>
      <c r="I38" s="259"/>
    </row>
    <row r="39" spans="1:9" s="192" customFormat="1" ht="18.75" customHeight="1" thickBot="1" x14ac:dyDescent="0.3">
      <c r="A39" s="260" t="s">
        <v>238</v>
      </c>
      <c r="B39" s="261">
        <f>SUM(B24:B38)</f>
        <v>0</v>
      </c>
      <c r="C39" s="262">
        <f>SUM(C24:C38)</f>
        <v>80472</v>
      </c>
      <c r="D39" s="445">
        <f>SUM(D24:D38)</f>
        <v>32432.61</v>
      </c>
      <c r="E39" s="263">
        <f t="shared" si="0"/>
        <v>40.302974947807932</v>
      </c>
      <c r="F39" s="261">
        <f>SUM(F24:F38)</f>
        <v>0</v>
      </c>
      <c r="G39" s="262">
        <f>SUM(G24:G38)</f>
        <v>133253</v>
      </c>
      <c r="H39" s="445">
        <f>SUM(H24:H38)</f>
        <v>48679.5</v>
      </c>
      <c r="I39" s="264">
        <f t="shared" ref="I39:I41" si="4">H39/G39*100</f>
        <v>36.531635310274439</v>
      </c>
    </row>
    <row r="40" spans="1:9" s="192" customFormat="1" ht="16.5" customHeight="1" thickBot="1" x14ac:dyDescent="0.3">
      <c r="A40" s="260" t="s">
        <v>239</v>
      </c>
      <c r="B40" s="261">
        <v>0</v>
      </c>
      <c r="C40" s="265">
        <v>0</v>
      </c>
      <c r="D40" s="445">
        <f>6472</f>
        <v>6472</v>
      </c>
      <c r="E40" s="266"/>
      <c r="F40" s="267">
        <v>0</v>
      </c>
      <c r="G40" s="262">
        <v>0</v>
      </c>
      <c r="H40" s="445">
        <f>449.45+25290.32+6571.06+377.86</f>
        <v>32688.690000000002</v>
      </c>
      <c r="I40" s="264"/>
    </row>
    <row r="41" spans="1:9" s="192" customFormat="1" ht="16.5" customHeight="1" thickBot="1" x14ac:dyDescent="0.3">
      <c r="A41" s="260" t="s">
        <v>240</v>
      </c>
      <c r="B41" s="261">
        <v>0</v>
      </c>
      <c r="C41" s="265">
        <v>0</v>
      </c>
      <c r="D41" s="445">
        <v>0</v>
      </c>
      <c r="E41" s="266"/>
      <c r="F41" s="267">
        <v>0</v>
      </c>
      <c r="G41" s="262">
        <v>700</v>
      </c>
      <c r="H41" s="445">
        <v>1073.32</v>
      </c>
      <c r="I41" s="264">
        <f t="shared" si="4"/>
        <v>153.33142857142857</v>
      </c>
    </row>
    <row r="42" spans="1:9" s="192" customFormat="1" ht="16.5" customHeight="1" thickBot="1" x14ac:dyDescent="0.3">
      <c r="A42" s="260" t="s">
        <v>241</v>
      </c>
      <c r="B42" s="261">
        <v>0</v>
      </c>
      <c r="C42" s="265">
        <v>0</v>
      </c>
      <c r="D42" s="445">
        <v>0</v>
      </c>
      <c r="E42" s="266"/>
      <c r="F42" s="267">
        <v>0</v>
      </c>
      <c r="G42" s="262">
        <v>0</v>
      </c>
      <c r="H42" s="445">
        <f>576+2054.4</f>
        <v>2630.4</v>
      </c>
      <c r="I42" s="264"/>
    </row>
    <row r="43" spans="1:9" s="192" customFormat="1" ht="24.95" customHeight="1" thickBot="1" x14ac:dyDescent="0.3">
      <c r="A43" s="268" t="s">
        <v>242</v>
      </c>
      <c r="B43" s="198">
        <f>B47+B54</f>
        <v>597944</v>
      </c>
      <c r="C43" s="199">
        <f t="shared" ref="C43:D43" si="5">C47+C54</f>
        <v>601444</v>
      </c>
      <c r="D43" s="199">
        <f t="shared" si="5"/>
        <v>288758.78999999998</v>
      </c>
      <c r="E43" s="269">
        <f t="shared" ref="E43" si="6">E44+E45+E48+E49</f>
        <v>125.75146636017325</v>
      </c>
      <c r="F43" s="198">
        <f>F47+F54</f>
        <v>485598</v>
      </c>
      <c r="G43" s="199">
        <f t="shared" ref="G43:H43" si="7">G47+G54</f>
        <v>501198</v>
      </c>
      <c r="H43" s="199">
        <f t="shared" si="7"/>
        <v>280646.76</v>
      </c>
      <c r="I43" s="200">
        <f t="shared" ref="I43:I50" si="8">H43/G43*100</f>
        <v>55.995187530676503</v>
      </c>
    </row>
    <row r="44" spans="1:9" s="192" customFormat="1" ht="15" customHeight="1" x14ac:dyDescent="0.25">
      <c r="A44" s="270" t="s">
        <v>243</v>
      </c>
      <c r="B44" s="202">
        <v>348000</v>
      </c>
      <c r="C44" s="229">
        <v>351500</v>
      </c>
      <c r="D44" s="437">
        <v>114771.69</v>
      </c>
      <c r="E44" s="204">
        <f t="shared" ref="E44:E45" si="9">D44/C44*100</f>
        <v>32.651974395448079</v>
      </c>
      <c r="F44" s="205">
        <v>276000</v>
      </c>
      <c r="G44" s="206">
        <v>291600</v>
      </c>
      <c r="H44" s="440">
        <v>126333.38</v>
      </c>
      <c r="I44" s="207">
        <f t="shared" si="8"/>
        <v>43.32420438957476</v>
      </c>
    </row>
    <row r="45" spans="1:9" s="192" customFormat="1" ht="15" customHeight="1" x14ac:dyDescent="0.25">
      <c r="A45" s="270" t="s">
        <v>244</v>
      </c>
      <c r="B45" s="209">
        <v>15503</v>
      </c>
      <c r="C45" s="232">
        <v>15503</v>
      </c>
      <c r="D45" s="438">
        <v>4167.12</v>
      </c>
      <c r="E45" s="211">
        <f t="shared" si="9"/>
        <v>26.879442688511901</v>
      </c>
      <c r="F45" s="209">
        <v>10542</v>
      </c>
      <c r="G45" s="232">
        <v>10542</v>
      </c>
      <c r="H45" s="438">
        <v>2601.5100000000002</v>
      </c>
      <c r="I45" s="212">
        <f t="shared" si="8"/>
        <v>24.677575412635175</v>
      </c>
    </row>
    <row r="46" spans="1:9" s="192" customFormat="1" ht="15" customHeight="1" thickBot="1" x14ac:dyDescent="0.3">
      <c r="A46" s="271" t="s">
        <v>245</v>
      </c>
      <c r="B46" s="214">
        <v>0</v>
      </c>
      <c r="C46" s="215">
        <v>0</v>
      </c>
      <c r="D46" s="439">
        <v>0</v>
      </c>
      <c r="E46" s="216"/>
      <c r="F46" s="214">
        <v>0</v>
      </c>
      <c r="G46" s="215">
        <v>0</v>
      </c>
      <c r="H46" s="439">
        <v>0</v>
      </c>
      <c r="I46" s="259"/>
    </row>
    <row r="47" spans="1:9" s="192" customFormat="1" ht="15" customHeight="1" thickBot="1" x14ac:dyDescent="0.3">
      <c r="A47" s="272" t="s">
        <v>246</v>
      </c>
      <c r="B47" s="224">
        <f>SUM(B44:B46)</f>
        <v>363503</v>
      </c>
      <c r="C47" s="225">
        <f t="shared" ref="C47:D47" si="10">SUM(C44:C46)</f>
        <v>367003</v>
      </c>
      <c r="D47" s="442">
        <f t="shared" si="10"/>
        <v>118938.81</v>
      </c>
      <c r="E47" s="273">
        <f t="shared" ref="E47" si="11">D47/C47*100</f>
        <v>32.408130178772382</v>
      </c>
      <c r="F47" s="224">
        <f>SUM(F44:F46)</f>
        <v>286542</v>
      </c>
      <c r="G47" s="225">
        <f t="shared" ref="G47:H47" si="12">SUM(G44:G46)</f>
        <v>302142</v>
      </c>
      <c r="H47" s="442">
        <f t="shared" si="12"/>
        <v>128934.89</v>
      </c>
      <c r="I47" s="274">
        <f t="shared" si="8"/>
        <v>42.67360711188779</v>
      </c>
    </row>
    <row r="48" spans="1:9" s="192" customFormat="1" ht="15.75" customHeight="1" x14ac:dyDescent="0.25">
      <c r="A48" s="275" t="s">
        <v>247</v>
      </c>
      <c r="B48" s="202">
        <v>170000</v>
      </c>
      <c r="C48" s="229">
        <v>170000</v>
      </c>
      <c r="D48" s="437">
        <v>54811.4</v>
      </c>
      <c r="E48" s="204">
        <f t="shared" si="0"/>
        <v>32.241999999999997</v>
      </c>
      <c r="F48" s="202">
        <v>159000</v>
      </c>
      <c r="G48" s="229">
        <v>159000</v>
      </c>
      <c r="H48" s="437">
        <v>54825.7</v>
      </c>
      <c r="I48" s="249">
        <f t="shared" si="8"/>
        <v>34.481572327044027</v>
      </c>
    </row>
    <row r="49" spans="1:9" s="192" customFormat="1" ht="16.5" customHeight="1" x14ac:dyDescent="0.25">
      <c r="A49" s="270" t="s">
        <v>248</v>
      </c>
      <c r="B49" s="209">
        <v>44281</v>
      </c>
      <c r="C49" s="232">
        <v>44281</v>
      </c>
      <c r="D49" s="438">
        <v>15045.82</v>
      </c>
      <c r="E49" s="211">
        <f t="shared" si="0"/>
        <v>33.978049276213277</v>
      </c>
      <c r="F49" s="209">
        <v>30056</v>
      </c>
      <c r="G49" s="232">
        <v>30056</v>
      </c>
      <c r="H49" s="438">
        <v>9066.23</v>
      </c>
      <c r="I49" s="212">
        <f t="shared" si="8"/>
        <v>30.16445967527282</v>
      </c>
    </row>
    <row r="50" spans="1:9" s="192" customFormat="1" ht="15.75" customHeight="1" x14ac:dyDescent="0.2">
      <c r="A50" s="276" t="s">
        <v>249</v>
      </c>
      <c r="B50" s="209">
        <v>20160</v>
      </c>
      <c r="C50" s="232">
        <v>20160</v>
      </c>
      <c r="D50" s="438">
        <v>12718.26</v>
      </c>
      <c r="E50" s="211">
        <f t="shared" si="0"/>
        <v>63.08660714285714</v>
      </c>
      <c r="F50" s="209">
        <v>10000</v>
      </c>
      <c r="G50" s="232">
        <v>10000</v>
      </c>
      <c r="H50" s="438">
        <v>17319.439999999999</v>
      </c>
      <c r="I50" s="212">
        <f t="shared" si="8"/>
        <v>173.1944</v>
      </c>
    </row>
    <row r="51" spans="1:9" s="192" customFormat="1" ht="18" customHeight="1" x14ac:dyDescent="0.2">
      <c r="A51" s="277" t="s">
        <v>250</v>
      </c>
      <c r="B51" s="234">
        <v>0</v>
      </c>
      <c r="C51" s="235">
        <v>0</v>
      </c>
      <c r="D51" s="438">
        <v>87244.5</v>
      </c>
      <c r="E51" s="211"/>
      <c r="F51" s="234">
        <v>0</v>
      </c>
      <c r="G51" s="235">
        <v>0</v>
      </c>
      <c r="H51" s="438">
        <v>65924.3</v>
      </c>
      <c r="I51" s="212"/>
    </row>
    <row r="52" spans="1:9" s="192" customFormat="1" ht="15" customHeight="1" x14ac:dyDescent="0.2">
      <c r="A52" s="277" t="s">
        <v>251</v>
      </c>
      <c r="B52" s="234">
        <v>0</v>
      </c>
      <c r="C52" s="235">
        <v>0</v>
      </c>
      <c r="D52" s="438">
        <v>0</v>
      </c>
      <c r="E52" s="211"/>
      <c r="F52" s="234">
        <v>0</v>
      </c>
      <c r="G52" s="235">
        <v>0</v>
      </c>
      <c r="H52" s="438">
        <v>4576.2</v>
      </c>
      <c r="I52" s="212"/>
    </row>
    <row r="53" spans="1:9" s="192" customFormat="1" ht="15.75" customHeight="1" thickBot="1" x14ac:dyDescent="0.3">
      <c r="A53" s="271" t="s">
        <v>252</v>
      </c>
      <c r="B53" s="214">
        <v>0</v>
      </c>
      <c r="C53" s="215">
        <v>0</v>
      </c>
      <c r="D53" s="439">
        <v>0</v>
      </c>
      <c r="E53" s="216"/>
      <c r="F53" s="214">
        <v>0</v>
      </c>
      <c r="G53" s="215">
        <v>0</v>
      </c>
      <c r="H53" s="439">
        <v>0</v>
      </c>
      <c r="I53" s="259"/>
    </row>
    <row r="54" spans="1:9" s="192" customFormat="1" ht="18" customHeight="1" thickBot="1" x14ac:dyDescent="0.3">
      <c r="A54" s="278" t="s">
        <v>253</v>
      </c>
      <c r="B54" s="279">
        <f>SUM(B48:B53)</f>
        <v>234441</v>
      </c>
      <c r="C54" s="280">
        <f t="shared" ref="C54:D54" si="13">SUM(C48:C53)</f>
        <v>234441</v>
      </c>
      <c r="D54" s="446">
        <f t="shared" si="13"/>
        <v>169819.97999999998</v>
      </c>
      <c r="E54" s="266">
        <f t="shared" ref="E54:E55" si="14">D54/C54*100</f>
        <v>72.436126786696846</v>
      </c>
      <c r="F54" s="279">
        <f>SUM(F48:F53)</f>
        <v>199056</v>
      </c>
      <c r="G54" s="280">
        <f t="shared" ref="G54:H54" si="15">SUM(G48:G53)</f>
        <v>199056</v>
      </c>
      <c r="H54" s="446">
        <f t="shared" si="15"/>
        <v>151711.87</v>
      </c>
      <c r="I54" s="266">
        <f t="shared" ref="I54:I55" si="16">H54/G54*100</f>
        <v>76.215672976448829</v>
      </c>
    </row>
    <row r="55" spans="1:9" s="192" customFormat="1" ht="21.75" customHeight="1" thickBot="1" x14ac:dyDescent="0.3">
      <c r="A55" s="197" t="s">
        <v>254</v>
      </c>
      <c r="B55" s="281">
        <f>B17+B43</f>
        <v>2173987</v>
      </c>
      <c r="C55" s="282">
        <f>C17+C43</f>
        <v>2343520</v>
      </c>
      <c r="D55" s="282">
        <f>D17+D43</f>
        <v>1099556.45</v>
      </c>
      <c r="E55" s="283">
        <f t="shared" si="14"/>
        <v>46.91901285246125</v>
      </c>
      <c r="F55" s="281">
        <f>F17+F43</f>
        <v>1779660</v>
      </c>
      <c r="G55" s="282">
        <f>G17+G43</f>
        <v>1989599</v>
      </c>
      <c r="H55" s="282">
        <f>H17+H43</f>
        <v>1067558.2899999998</v>
      </c>
      <c r="I55" s="283">
        <f t="shared" si="16"/>
        <v>53.656957507517831</v>
      </c>
    </row>
    <row r="56" spans="1:9" s="192" customFormat="1" ht="13.9" customHeight="1" x14ac:dyDescent="0.25">
      <c r="A56" s="284" t="s">
        <v>255</v>
      </c>
      <c r="B56" s="285">
        <v>0</v>
      </c>
      <c r="C56" s="286">
        <v>0</v>
      </c>
      <c r="D56" s="447">
        <v>0</v>
      </c>
      <c r="E56" s="287"/>
      <c r="F56" s="288">
        <v>0</v>
      </c>
      <c r="G56" s="289">
        <v>0</v>
      </c>
      <c r="H56" s="449">
        <v>0</v>
      </c>
      <c r="I56" s="290"/>
    </row>
    <row r="57" spans="1:9" s="192" customFormat="1" ht="15.6" customHeight="1" thickBot="1" x14ac:dyDescent="0.3">
      <c r="A57" s="291" t="s">
        <v>256</v>
      </c>
      <c r="B57" s="292">
        <v>0</v>
      </c>
      <c r="C57" s="293">
        <v>0</v>
      </c>
      <c r="D57" s="448">
        <v>0</v>
      </c>
      <c r="E57" s="294"/>
      <c r="F57" s="295">
        <v>0</v>
      </c>
      <c r="G57" s="296">
        <v>0</v>
      </c>
      <c r="H57" s="450">
        <v>0</v>
      </c>
      <c r="I57" s="297"/>
    </row>
    <row r="58" spans="1:9" s="192" customFormat="1" ht="21" customHeight="1" thickBot="1" x14ac:dyDescent="0.3">
      <c r="A58" s="298" t="s">
        <v>257</v>
      </c>
      <c r="B58" s="281">
        <f>SUM(B55:B57)</f>
        <v>2173987</v>
      </c>
      <c r="C58" s="282">
        <f t="shared" ref="C58:D58" si="17">SUM(C55:C57)</f>
        <v>2343520</v>
      </c>
      <c r="D58" s="282">
        <f t="shared" si="17"/>
        <v>1099556.45</v>
      </c>
      <c r="E58" s="299">
        <f>D58/C58*100</f>
        <v>46.91901285246125</v>
      </c>
      <c r="F58" s="281">
        <f>SUM(F55:F57)</f>
        <v>1779660</v>
      </c>
      <c r="G58" s="282">
        <f t="shared" ref="G58:H58" si="18">SUM(G55:G57)</f>
        <v>1989599</v>
      </c>
      <c r="H58" s="282">
        <f t="shared" si="18"/>
        <v>1067558.2899999998</v>
      </c>
      <c r="I58" s="299">
        <f>H58/G58*100</f>
        <v>53.656957507517831</v>
      </c>
    </row>
    <row r="59" spans="1:9" x14ac:dyDescent="0.25">
      <c r="A59" s="192"/>
      <c r="D59" s="300"/>
      <c r="E59" s="301"/>
      <c r="F59" s="301"/>
      <c r="H59" s="300"/>
    </row>
    <row r="60" spans="1:9" ht="43.5" customHeight="1" x14ac:dyDescent="0.25">
      <c r="D60" s="302"/>
      <c r="E60" s="301"/>
      <c r="F60" s="301"/>
      <c r="G60" s="301"/>
      <c r="H60" s="302"/>
    </row>
    <row r="61" spans="1:9" ht="18" customHeight="1" x14ac:dyDescent="0.25"/>
    <row r="62" spans="1:9" ht="18" customHeight="1" x14ac:dyDescent="0.25"/>
    <row r="63" spans="1:9" ht="20.25" x14ac:dyDescent="0.25">
      <c r="A63" s="603" t="s">
        <v>201</v>
      </c>
      <c r="B63" s="603"/>
      <c r="C63" s="603"/>
      <c r="D63" s="603"/>
      <c r="E63" s="603"/>
      <c r="F63" s="603"/>
      <c r="G63" s="603"/>
      <c r="H63" s="603"/>
      <c r="I63" s="603"/>
    </row>
    <row r="64" spans="1:9" ht="20.25" x14ac:dyDescent="0.25">
      <c r="A64" s="603" t="s">
        <v>258</v>
      </c>
      <c r="B64" s="603"/>
      <c r="C64" s="603"/>
      <c r="D64" s="603"/>
      <c r="E64" s="603"/>
      <c r="F64" s="603"/>
      <c r="G64" s="603"/>
      <c r="H64" s="603"/>
      <c r="I64" s="603"/>
    </row>
    <row r="65" spans="1:9" ht="14.25" hidden="1" customHeight="1" x14ac:dyDescent="0.25">
      <c r="A65" s="304"/>
      <c r="B65" s="305"/>
      <c r="C65" s="305"/>
      <c r="D65" s="305"/>
      <c r="E65" s="305"/>
      <c r="F65" s="305"/>
      <c r="G65" s="305"/>
      <c r="H65" s="305"/>
      <c r="I65" s="303"/>
    </row>
    <row r="66" spans="1:9" ht="15" hidden="1" customHeight="1" x14ac:dyDescent="0.25">
      <c r="A66" s="304"/>
      <c r="B66" s="305"/>
      <c r="C66" s="305"/>
      <c r="D66" s="305"/>
      <c r="E66" s="305"/>
      <c r="F66" s="305"/>
      <c r="G66" s="305"/>
      <c r="H66" s="305"/>
      <c r="I66" s="303"/>
    </row>
    <row r="67" spans="1:9" ht="22.5" customHeight="1" x14ac:dyDescent="0.25">
      <c r="A67" s="306"/>
      <c r="B67" s="307"/>
      <c r="C67" s="307"/>
      <c r="D67" s="307"/>
      <c r="E67" s="303"/>
      <c r="F67" s="303"/>
      <c r="G67" s="307"/>
      <c r="H67" s="307"/>
      <c r="I67" s="303"/>
    </row>
    <row r="68" spans="1:9" x14ac:dyDescent="0.25">
      <c r="A68" s="306"/>
      <c r="B68" s="307"/>
      <c r="C68" s="307"/>
      <c r="D68" s="307"/>
      <c r="E68" s="303"/>
      <c r="F68" s="303"/>
      <c r="G68" s="307"/>
      <c r="H68" s="597" t="s">
        <v>259</v>
      </c>
      <c r="I68" s="597"/>
    </row>
    <row r="69" spans="1:9" ht="15.75" thickBot="1" x14ac:dyDescent="0.3">
      <c r="A69" s="306"/>
      <c r="B69" s="307"/>
      <c r="C69" s="307"/>
      <c r="D69" s="307"/>
      <c r="E69" s="303"/>
      <c r="F69" s="303"/>
      <c r="G69" s="307"/>
      <c r="H69" s="190"/>
      <c r="I69" s="191" t="s">
        <v>204</v>
      </c>
    </row>
    <row r="70" spans="1:9" ht="20.100000000000001" customHeight="1" thickBot="1" x14ac:dyDescent="0.3">
      <c r="A70" s="598" t="s">
        <v>205</v>
      </c>
      <c r="B70" s="600" t="s">
        <v>260</v>
      </c>
      <c r="C70" s="601"/>
      <c r="D70" s="601"/>
      <c r="E70" s="602"/>
      <c r="F70" s="600" t="s">
        <v>261</v>
      </c>
      <c r="G70" s="601"/>
      <c r="H70" s="601"/>
      <c r="I70" s="602"/>
    </row>
    <row r="71" spans="1:9" ht="39" thickBot="1" x14ac:dyDescent="0.3">
      <c r="A71" s="599"/>
      <c r="B71" s="193" t="s">
        <v>2</v>
      </c>
      <c r="C71" s="194" t="s">
        <v>208</v>
      </c>
      <c r="D71" s="195" t="s">
        <v>209</v>
      </c>
      <c r="E71" s="196" t="s">
        <v>61</v>
      </c>
      <c r="F71" s="193" t="s">
        <v>2</v>
      </c>
      <c r="G71" s="194" t="s">
        <v>208</v>
      </c>
      <c r="H71" s="195" t="s">
        <v>209</v>
      </c>
      <c r="I71" s="196" t="s">
        <v>61</v>
      </c>
    </row>
    <row r="72" spans="1:9" ht="20.100000000000001" customHeight="1" thickBot="1" x14ac:dyDescent="0.3">
      <c r="A72" s="298" t="s">
        <v>210</v>
      </c>
      <c r="B72" s="308">
        <f>SUM(B73:B77)</f>
        <v>164000</v>
      </c>
      <c r="C72" s="309">
        <f>SUM(C73:C77)</f>
        <v>164000</v>
      </c>
      <c r="D72" s="309">
        <f>SUM(D73:D77)</f>
        <v>100301.86</v>
      </c>
      <c r="E72" s="299">
        <f>D72/C72*100</f>
        <v>61.159670731707315</v>
      </c>
      <c r="F72" s="308">
        <f>SUM(F73:F77)</f>
        <v>140701</v>
      </c>
      <c r="G72" s="309">
        <f>SUM(G73:G77)</f>
        <v>140701</v>
      </c>
      <c r="H72" s="309">
        <f>SUM(H73:H77)</f>
        <v>88323.09</v>
      </c>
      <c r="I72" s="299">
        <f t="shared" ref="I72:I119" si="19">H72/G72*100</f>
        <v>62.773605020575538</v>
      </c>
    </row>
    <row r="73" spans="1:9" ht="16.5" customHeight="1" x14ac:dyDescent="0.25">
      <c r="A73" s="208" t="s">
        <v>211</v>
      </c>
      <c r="B73" s="205">
        <v>60000</v>
      </c>
      <c r="C73" s="206">
        <v>60000</v>
      </c>
      <c r="D73" s="440">
        <v>47256</v>
      </c>
      <c r="E73" s="207">
        <f>D73/C73*100</f>
        <v>78.759999999999991</v>
      </c>
      <c r="F73" s="205">
        <v>68500</v>
      </c>
      <c r="G73" s="206">
        <v>68500</v>
      </c>
      <c r="H73" s="440">
        <v>38935</v>
      </c>
      <c r="I73" s="207">
        <f t="shared" si="19"/>
        <v>56.839416058394164</v>
      </c>
    </row>
    <row r="74" spans="1:9" ht="18" customHeight="1" x14ac:dyDescent="0.25">
      <c r="A74" s="208" t="s">
        <v>212</v>
      </c>
      <c r="B74" s="209">
        <v>36000</v>
      </c>
      <c r="C74" s="210">
        <v>36000</v>
      </c>
      <c r="D74" s="438">
        <v>29367.58</v>
      </c>
      <c r="E74" s="212">
        <f>D74/C74*100</f>
        <v>81.57661111111112</v>
      </c>
      <c r="F74" s="209">
        <v>39610</v>
      </c>
      <c r="G74" s="210">
        <v>39610</v>
      </c>
      <c r="H74" s="438">
        <v>25790.5</v>
      </c>
      <c r="I74" s="212">
        <f t="shared" si="19"/>
        <v>65.111083059833376</v>
      </c>
    </row>
    <row r="75" spans="1:9" ht="16.5" customHeight="1" x14ac:dyDescent="0.25">
      <c r="A75" s="213" t="s">
        <v>213</v>
      </c>
      <c r="B75" s="209">
        <v>8000</v>
      </c>
      <c r="C75" s="210">
        <v>8000</v>
      </c>
      <c r="D75" s="438">
        <v>6213.07</v>
      </c>
      <c r="E75" s="310">
        <f>D75/C75*100</f>
        <v>77.663375000000002</v>
      </c>
      <c r="F75" s="209">
        <v>4943</v>
      </c>
      <c r="G75" s="210">
        <v>4943</v>
      </c>
      <c r="H75" s="438">
        <v>3274.72</v>
      </c>
      <c r="I75" s="310">
        <f t="shared" si="19"/>
        <v>66.249645963989479</v>
      </c>
    </row>
    <row r="76" spans="1:9" ht="16.5" customHeight="1" x14ac:dyDescent="0.25">
      <c r="A76" s="208" t="s">
        <v>214</v>
      </c>
      <c r="B76" s="209">
        <v>60000</v>
      </c>
      <c r="C76" s="232">
        <v>60000</v>
      </c>
      <c r="D76" s="438">
        <v>14188.91</v>
      </c>
      <c r="E76" s="310">
        <f>D76/C76*100</f>
        <v>23.648183333333332</v>
      </c>
      <c r="F76" s="209">
        <v>27648</v>
      </c>
      <c r="G76" s="232">
        <v>27648</v>
      </c>
      <c r="H76" s="438">
        <v>17573.55</v>
      </c>
      <c r="I76" s="310">
        <f t="shared" si="19"/>
        <v>63.561740451388879</v>
      </c>
    </row>
    <row r="77" spans="1:9" ht="18" customHeight="1" thickBot="1" x14ac:dyDescent="0.3">
      <c r="A77" s="311" t="s">
        <v>215</v>
      </c>
      <c r="B77" s="312">
        <v>0</v>
      </c>
      <c r="C77" s="313">
        <v>0</v>
      </c>
      <c r="D77" s="441">
        <f>720+1558.21+998.09</f>
        <v>3276.3</v>
      </c>
      <c r="E77" s="219"/>
      <c r="F77" s="312">
        <v>0</v>
      </c>
      <c r="G77" s="313">
        <v>0</v>
      </c>
      <c r="H77" s="441">
        <f>13.14+736.18+2000</f>
        <v>2749.3199999999997</v>
      </c>
      <c r="I77" s="314"/>
    </row>
    <row r="78" spans="1:9" ht="18" customHeight="1" thickBot="1" x14ac:dyDescent="0.3">
      <c r="A78" s="298" t="s">
        <v>216</v>
      </c>
      <c r="B78" s="220">
        <f>B79+B102+B103</f>
        <v>1332859</v>
      </c>
      <c r="C78" s="221">
        <f>C79+C102+C103</f>
        <v>1587684</v>
      </c>
      <c r="D78" s="221">
        <f>D79+D102+D103</f>
        <v>806519.7</v>
      </c>
      <c r="E78" s="315"/>
      <c r="F78" s="220">
        <f>F79+F102+F103</f>
        <v>1153059</v>
      </c>
      <c r="G78" s="221">
        <f>G79+G102+G103</f>
        <v>1263562</v>
      </c>
      <c r="H78" s="221">
        <f>H79+H102+H103</f>
        <v>641349.84</v>
      </c>
      <c r="I78" s="316"/>
    </row>
    <row r="79" spans="1:9" ht="15.75" thickBot="1" x14ac:dyDescent="0.3">
      <c r="A79" s="272" t="s">
        <v>217</v>
      </c>
      <c r="B79" s="224">
        <f>B84+B100+B101</f>
        <v>1332859</v>
      </c>
      <c r="C79" s="225">
        <f>C84+C100+C101</f>
        <v>1587684</v>
      </c>
      <c r="D79" s="442">
        <f>D84+D100+D101</f>
        <v>806519.7</v>
      </c>
      <c r="E79" s="226">
        <f t="shared" ref="E79:E111" si="20">D79/C79*100</f>
        <v>50.798502724723562</v>
      </c>
      <c r="F79" s="224">
        <f>F84+F100+F101</f>
        <v>1153059</v>
      </c>
      <c r="G79" s="225">
        <f>G84+G100+G101</f>
        <v>1263562</v>
      </c>
      <c r="H79" s="442">
        <f>H84+H100+H101</f>
        <v>639349.84</v>
      </c>
      <c r="I79" s="227">
        <f t="shared" si="19"/>
        <v>50.599008200626486</v>
      </c>
    </row>
    <row r="80" spans="1:9" x14ac:dyDescent="0.25">
      <c r="A80" s="317" t="s">
        <v>218</v>
      </c>
      <c r="B80" s="205">
        <v>1118172</v>
      </c>
      <c r="C80" s="206">
        <v>1315652</v>
      </c>
      <c r="D80" s="440">
        <v>583050.07999999996</v>
      </c>
      <c r="E80" s="207">
        <f t="shared" si="20"/>
        <v>44.31643626126057</v>
      </c>
      <c r="F80" s="205">
        <v>969526</v>
      </c>
      <c r="G80" s="318">
        <v>1059886</v>
      </c>
      <c r="H80" s="440">
        <v>468745.78</v>
      </c>
      <c r="I80" s="207">
        <f t="shared" si="19"/>
        <v>44.226056387196358</v>
      </c>
    </row>
    <row r="81" spans="1:9" x14ac:dyDescent="0.25">
      <c r="A81" s="319" t="s">
        <v>219</v>
      </c>
      <c r="B81" s="209">
        <v>214687</v>
      </c>
      <c r="C81" s="210">
        <v>180781</v>
      </c>
      <c r="D81" s="438">
        <v>74733.08</v>
      </c>
      <c r="E81" s="212">
        <f t="shared" si="20"/>
        <v>41.339012396214201</v>
      </c>
      <c r="F81" s="209">
        <v>183533</v>
      </c>
      <c r="G81" s="232">
        <v>139369</v>
      </c>
      <c r="H81" s="438">
        <v>50113.01</v>
      </c>
      <c r="I81" s="212">
        <f t="shared" si="19"/>
        <v>35.957070797666631</v>
      </c>
    </row>
    <row r="82" spans="1:9" x14ac:dyDescent="0.25">
      <c r="A82" s="320" t="s">
        <v>220</v>
      </c>
      <c r="B82" s="234">
        <v>0</v>
      </c>
      <c r="C82" s="235">
        <v>0</v>
      </c>
      <c r="D82" s="438">
        <f>74275.04</f>
        <v>74275.039999999994</v>
      </c>
      <c r="E82" s="212"/>
      <c r="F82" s="234">
        <v>0</v>
      </c>
      <c r="G82" s="235">
        <v>0</v>
      </c>
      <c r="H82" s="438">
        <f>69039.09+2476</f>
        <v>71515.09</v>
      </c>
      <c r="I82" s="212"/>
    </row>
    <row r="83" spans="1:9" ht="15.75" thickBot="1" x14ac:dyDescent="0.3">
      <c r="A83" s="321" t="s">
        <v>262</v>
      </c>
      <c r="B83" s="217">
        <v>0</v>
      </c>
      <c r="C83" s="240">
        <v>452</v>
      </c>
      <c r="D83" s="441">
        <v>452</v>
      </c>
      <c r="E83" s="219">
        <f t="shared" si="20"/>
        <v>100</v>
      </c>
      <c r="F83" s="217">
        <v>0</v>
      </c>
      <c r="G83" s="240">
        <v>0</v>
      </c>
      <c r="H83" s="441">
        <v>0</v>
      </c>
      <c r="I83" s="219"/>
    </row>
    <row r="84" spans="1:9" ht="26.25" thickBot="1" x14ac:dyDescent="0.3">
      <c r="A84" s="322" t="s">
        <v>222</v>
      </c>
      <c r="B84" s="224">
        <f>SUM(B80:B83)</f>
        <v>1332859</v>
      </c>
      <c r="C84" s="225">
        <f t="shared" ref="C84:D84" si="21">SUM(C80:C83)</f>
        <v>1496885</v>
      </c>
      <c r="D84" s="442">
        <f t="shared" si="21"/>
        <v>732510.2</v>
      </c>
      <c r="E84" s="227">
        <f t="shared" si="20"/>
        <v>48.935636338128845</v>
      </c>
      <c r="F84" s="224">
        <f>SUM(F80:F83)</f>
        <v>1153059</v>
      </c>
      <c r="G84" s="225">
        <f t="shared" ref="G84:H84" si="22">SUM(G80:G83)</f>
        <v>1199255</v>
      </c>
      <c r="H84" s="442">
        <f t="shared" si="22"/>
        <v>590373.88</v>
      </c>
      <c r="I84" s="227">
        <f t="shared" si="19"/>
        <v>49.228385956281187</v>
      </c>
    </row>
    <row r="85" spans="1:9" x14ac:dyDescent="0.25">
      <c r="A85" s="242" t="s">
        <v>223</v>
      </c>
      <c r="B85" s="243">
        <v>0</v>
      </c>
      <c r="C85" s="323">
        <v>17344</v>
      </c>
      <c r="D85" s="437">
        <v>7436.53</v>
      </c>
      <c r="E85" s="249">
        <f t="shared" si="20"/>
        <v>42.876672047970473</v>
      </c>
      <c r="F85" s="245">
        <v>0</v>
      </c>
      <c r="G85" s="246">
        <v>15168</v>
      </c>
      <c r="H85" s="440">
        <v>4685</v>
      </c>
      <c r="I85" s="207">
        <f t="shared" si="19"/>
        <v>30.887394514767934</v>
      </c>
    </row>
    <row r="86" spans="1:9" x14ac:dyDescent="0.25">
      <c r="A86" s="247" t="s">
        <v>224</v>
      </c>
      <c r="B86" s="234">
        <v>0</v>
      </c>
      <c r="C86" s="235">
        <v>0</v>
      </c>
      <c r="D86" s="438">
        <v>0</v>
      </c>
      <c r="E86" s="212"/>
      <c r="F86" s="234">
        <v>0</v>
      </c>
      <c r="G86" s="235">
        <v>2121</v>
      </c>
      <c r="H86" s="438">
        <v>0</v>
      </c>
      <c r="I86" s="249"/>
    </row>
    <row r="87" spans="1:9" x14ac:dyDescent="0.25">
      <c r="A87" s="247" t="s">
        <v>225</v>
      </c>
      <c r="B87" s="234">
        <v>0</v>
      </c>
      <c r="C87" s="235">
        <v>21805</v>
      </c>
      <c r="D87" s="438">
        <v>9209.58</v>
      </c>
      <c r="E87" s="212">
        <f t="shared" si="20"/>
        <v>42.23609263930291</v>
      </c>
      <c r="F87" s="234">
        <v>0</v>
      </c>
      <c r="G87" s="235">
        <v>0</v>
      </c>
      <c r="H87" s="438">
        <v>0</v>
      </c>
      <c r="I87" s="249"/>
    </row>
    <row r="88" spans="1:9" x14ac:dyDescent="0.25">
      <c r="A88" s="250" t="s">
        <v>226</v>
      </c>
      <c r="B88" s="234">
        <v>0</v>
      </c>
      <c r="C88" s="235">
        <v>12300</v>
      </c>
      <c r="D88" s="438">
        <v>9900</v>
      </c>
      <c r="E88" s="212">
        <f t="shared" si="20"/>
        <v>80.487804878048792</v>
      </c>
      <c r="F88" s="234">
        <v>0</v>
      </c>
      <c r="G88" s="235">
        <v>7950</v>
      </c>
      <c r="H88" s="438">
        <v>6450</v>
      </c>
      <c r="I88" s="212">
        <f t="shared" si="19"/>
        <v>81.132075471698116</v>
      </c>
    </row>
    <row r="89" spans="1:9" x14ac:dyDescent="0.25">
      <c r="A89" s="247" t="s">
        <v>227</v>
      </c>
      <c r="B89" s="234">
        <v>0</v>
      </c>
      <c r="C89" s="235">
        <v>0</v>
      </c>
      <c r="D89" s="438">
        <v>0</v>
      </c>
      <c r="E89" s="212"/>
      <c r="F89" s="234">
        <v>0</v>
      </c>
      <c r="G89" s="235">
        <v>0</v>
      </c>
      <c r="H89" s="438">
        <v>0</v>
      </c>
      <c r="I89" s="212"/>
    </row>
    <row r="90" spans="1:9" x14ac:dyDescent="0.25">
      <c r="A90" s="250" t="s">
        <v>228</v>
      </c>
      <c r="B90" s="234">
        <v>0</v>
      </c>
      <c r="C90" s="235">
        <v>15529</v>
      </c>
      <c r="D90" s="438">
        <v>9975.81</v>
      </c>
      <c r="E90" s="212">
        <f t="shared" si="20"/>
        <v>64.239873784532165</v>
      </c>
      <c r="F90" s="234">
        <v>0</v>
      </c>
      <c r="G90" s="235">
        <v>11994</v>
      </c>
      <c r="H90" s="438">
        <v>0</v>
      </c>
      <c r="I90" s="249"/>
    </row>
    <row r="91" spans="1:9" x14ac:dyDescent="0.25">
      <c r="A91" s="250" t="s">
        <v>229</v>
      </c>
      <c r="B91" s="234">
        <v>0</v>
      </c>
      <c r="C91" s="235">
        <v>9500</v>
      </c>
      <c r="D91" s="438">
        <v>9100</v>
      </c>
      <c r="E91" s="212">
        <f t="shared" si="20"/>
        <v>95.78947368421052</v>
      </c>
      <c r="F91" s="234">
        <v>0</v>
      </c>
      <c r="G91" s="235">
        <v>5100</v>
      </c>
      <c r="H91" s="438">
        <v>5100</v>
      </c>
      <c r="I91" s="249">
        <f t="shared" si="19"/>
        <v>100</v>
      </c>
    </row>
    <row r="92" spans="1:9" ht="15" customHeight="1" x14ac:dyDescent="0.25">
      <c r="A92" s="247" t="s">
        <v>230</v>
      </c>
      <c r="B92" s="234">
        <v>0</v>
      </c>
      <c r="C92" s="235">
        <v>0</v>
      </c>
      <c r="D92" s="438">
        <v>0</v>
      </c>
      <c r="E92" s="212"/>
      <c r="F92" s="234">
        <v>0</v>
      </c>
      <c r="G92" s="235">
        <v>0</v>
      </c>
      <c r="H92" s="438">
        <v>0</v>
      </c>
      <c r="I92" s="212"/>
    </row>
    <row r="93" spans="1:9" x14ac:dyDescent="0.25">
      <c r="A93" s="247" t="s">
        <v>231</v>
      </c>
      <c r="B93" s="234">
        <v>0</v>
      </c>
      <c r="C93" s="235">
        <v>0</v>
      </c>
      <c r="D93" s="438">
        <v>0</v>
      </c>
      <c r="E93" s="212"/>
      <c r="F93" s="234">
        <v>0</v>
      </c>
      <c r="G93" s="235">
        <v>0</v>
      </c>
      <c r="H93" s="438">
        <v>0</v>
      </c>
      <c r="I93" s="212"/>
    </row>
    <row r="94" spans="1:9" x14ac:dyDescent="0.25">
      <c r="A94" s="251" t="s">
        <v>232</v>
      </c>
      <c r="B94" s="237">
        <v>0</v>
      </c>
      <c r="C94" s="238">
        <v>0</v>
      </c>
      <c r="D94" s="439">
        <v>0</v>
      </c>
      <c r="E94" s="212"/>
      <c r="F94" s="237">
        <v>0</v>
      </c>
      <c r="G94" s="238">
        <v>0</v>
      </c>
      <c r="H94" s="439">
        <v>0</v>
      </c>
      <c r="I94" s="249"/>
    </row>
    <row r="95" spans="1:9" x14ac:dyDescent="0.25">
      <c r="A95" s="251" t="s">
        <v>233</v>
      </c>
      <c r="B95" s="237">
        <v>0</v>
      </c>
      <c r="C95" s="238">
        <v>0</v>
      </c>
      <c r="D95" s="439">
        <v>0</v>
      </c>
      <c r="E95" s="212"/>
      <c r="F95" s="237">
        <v>0</v>
      </c>
      <c r="G95" s="238">
        <v>0</v>
      </c>
      <c r="H95" s="439">
        <v>0</v>
      </c>
      <c r="I95" s="249"/>
    </row>
    <row r="96" spans="1:9" ht="15" customHeight="1" x14ac:dyDescent="0.25">
      <c r="A96" s="251" t="s">
        <v>234</v>
      </c>
      <c r="B96" s="234">
        <v>0</v>
      </c>
      <c r="C96" s="253">
        <v>0</v>
      </c>
      <c r="D96" s="444">
        <v>0</v>
      </c>
      <c r="E96" s="212"/>
      <c r="F96" s="234">
        <v>0</v>
      </c>
      <c r="G96" s="235">
        <v>0</v>
      </c>
      <c r="H96" s="438">
        <v>0</v>
      </c>
      <c r="I96" s="212"/>
    </row>
    <row r="97" spans="1:9" x14ac:dyDescent="0.25">
      <c r="A97" s="254" t="s">
        <v>235</v>
      </c>
      <c r="B97" s="234">
        <v>0</v>
      </c>
      <c r="C97" s="235">
        <v>14321</v>
      </c>
      <c r="D97" s="438">
        <v>0</v>
      </c>
      <c r="E97" s="212">
        <f t="shared" si="20"/>
        <v>0</v>
      </c>
      <c r="F97" s="234">
        <v>0</v>
      </c>
      <c r="G97" s="235">
        <v>21974</v>
      </c>
      <c r="H97" s="438">
        <v>3279.36</v>
      </c>
      <c r="I97" s="212">
        <f>H97/G97*100</f>
        <v>14.923819058887776</v>
      </c>
    </row>
    <row r="98" spans="1:9" x14ac:dyDescent="0.25">
      <c r="A98" s="254" t="s">
        <v>236</v>
      </c>
      <c r="B98" s="234">
        <v>0</v>
      </c>
      <c r="C98" s="235">
        <v>0</v>
      </c>
      <c r="D98" s="438">
        <v>0</v>
      </c>
      <c r="E98" s="324"/>
      <c r="F98" s="234">
        <v>0</v>
      </c>
      <c r="G98" s="235">
        <v>0</v>
      </c>
      <c r="H98" s="438">
        <v>0</v>
      </c>
      <c r="I98" s="212"/>
    </row>
    <row r="99" spans="1:9" ht="15.75" thickBot="1" x14ac:dyDescent="0.3">
      <c r="A99" s="256" t="s">
        <v>237</v>
      </c>
      <c r="B99" s="237">
        <v>0</v>
      </c>
      <c r="C99" s="238">
        <v>0</v>
      </c>
      <c r="D99" s="439">
        <v>0</v>
      </c>
      <c r="E99" s="325"/>
      <c r="F99" s="217">
        <v>0</v>
      </c>
      <c r="G99" s="240">
        <v>0</v>
      </c>
      <c r="H99" s="441">
        <v>0</v>
      </c>
      <c r="I99" s="219"/>
    </row>
    <row r="100" spans="1:9" ht="15.75" thickBot="1" x14ac:dyDescent="0.3">
      <c r="A100" s="278" t="s">
        <v>238</v>
      </c>
      <c r="B100" s="261">
        <f>SUM(B85:B99)</f>
        <v>0</v>
      </c>
      <c r="C100" s="262">
        <f>SUM(C85:C99)</f>
        <v>90799</v>
      </c>
      <c r="D100" s="445">
        <f>SUM(D85:D99)</f>
        <v>45621.919999999998</v>
      </c>
      <c r="E100" s="264">
        <f t="shared" si="20"/>
        <v>50.244958644918988</v>
      </c>
      <c r="F100" s="261">
        <f>SUM(F85:F99)</f>
        <v>0</v>
      </c>
      <c r="G100" s="262">
        <f>SUM(G85:G99)</f>
        <v>64307</v>
      </c>
      <c r="H100" s="445">
        <f>SUM(H85:H99)</f>
        <v>19514.36</v>
      </c>
      <c r="I100" s="264">
        <f t="shared" si="19"/>
        <v>30.345623338050292</v>
      </c>
    </row>
    <row r="101" spans="1:9" ht="15.75" thickBot="1" x14ac:dyDescent="0.3">
      <c r="A101" s="278" t="s">
        <v>239</v>
      </c>
      <c r="B101" s="261">
        <v>0</v>
      </c>
      <c r="C101" s="262">
        <v>0</v>
      </c>
      <c r="D101" s="445">
        <f>21272.56+1558.21+5556.81</f>
        <v>28387.58</v>
      </c>
      <c r="E101" s="264"/>
      <c r="F101" s="261">
        <v>0</v>
      </c>
      <c r="G101" s="262">
        <v>0</v>
      </c>
      <c r="H101" s="445">
        <f>27587.72+1873.88</f>
        <v>29461.600000000002</v>
      </c>
      <c r="I101" s="264"/>
    </row>
    <row r="102" spans="1:9" ht="17.25" customHeight="1" thickBot="1" x14ac:dyDescent="0.3">
      <c r="A102" s="278" t="s">
        <v>240</v>
      </c>
      <c r="B102" s="261">
        <v>0</v>
      </c>
      <c r="C102" s="262">
        <v>0</v>
      </c>
      <c r="D102" s="445">
        <v>0</v>
      </c>
      <c r="E102" s="264"/>
      <c r="F102" s="261">
        <v>0</v>
      </c>
      <c r="G102" s="262">
        <v>0</v>
      </c>
      <c r="H102" s="445">
        <v>0</v>
      </c>
      <c r="I102" s="264"/>
    </row>
    <row r="103" spans="1:9" ht="18" customHeight="1" thickBot="1" x14ac:dyDescent="0.3">
      <c r="A103" s="260" t="s">
        <v>241</v>
      </c>
      <c r="B103" s="261">
        <v>0</v>
      </c>
      <c r="C103" s="262">
        <v>0</v>
      </c>
      <c r="D103" s="445">
        <v>0</v>
      </c>
      <c r="E103" s="264"/>
      <c r="F103" s="261">
        <v>0</v>
      </c>
      <c r="G103" s="262">
        <v>0</v>
      </c>
      <c r="H103" s="445">
        <v>2000</v>
      </c>
      <c r="I103" s="264"/>
    </row>
    <row r="104" spans="1:9" ht="26.25" thickBot="1" x14ac:dyDescent="0.3">
      <c r="A104" s="326" t="s">
        <v>242</v>
      </c>
      <c r="B104" s="308">
        <f>B108+B115</f>
        <v>530337</v>
      </c>
      <c r="C104" s="309">
        <f t="shared" ref="C104:D104" si="23">C108+C115</f>
        <v>532637</v>
      </c>
      <c r="D104" s="309">
        <f t="shared" si="23"/>
        <v>257580.81</v>
      </c>
      <c r="E104" s="327">
        <f t="shared" ref="E104" si="24">E105+E106+E109+E110</f>
        <v>130.49329137299486</v>
      </c>
      <c r="F104" s="308">
        <f>F108+F115</f>
        <v>419525</v>
      </c>
      <c r="G104" s="309">
        <f t="shared" ref="G104:H104" si="25">G108+G115</f>
        <v>430530</v>
      </c>
      <c r="H104" s="309">
        <f t="shared" si="25"/>
        <v>237953.82</v>
      </c>
      <c r="I104" s="222">
        <f t="shared" si="19"/>
        <v>55.269974217824547</v>
      </c>
    </row>
    <row r="105" spans="1:9" ht="17.100000000000001" customHeight="1" x14ac:dyDescent="0.25">
      <c r="A105" s="328" t="s">
        <v>243</v>
      </c>
      <c r="B105" s="205">
        <v>243000</v>
      </c>
      <c r="C105" s="318">
        <v>245300</v>
      </c>
      <c r="D105" s="440">
        <v>95290.01</v>
      </c>
      <c r="E105" s="207">
        <f>D105/C105*100</f>
        <v>38.846314716673461</v>
      </c>
      <c r="F105" s="205">
        <v>206000</v>
      </c>
      <c r="G105" s="318">
        <v>217005</v>
      </c>
      <c r="H105" s="440">
        <v>76806.23</v>
      </c>
      <c r="I105" s="207">
        <f t="shared" si="19"/>
        <v>35.393760512430589</v>
      </c>
    </row>
    <row r="106" spans="1:9" ht="17.100000000000001" customHeight="1" x14ac:dyDescent="0.25">
      <c r="A106" s="329" t="s">
        <v>244</v>
      </c>
      <c r="B106" s="209">
        <v>15288</v>
      </c>
      <c r="C106" s="232">
        <v>15288</v>
      </c>
      <c r="D106" s="438">
        <v>5171.1000000000004</v>
      </c>
      <c r="E106" s="212">
        <f>D106/C106*100</f>
        <v>33.82456828885401</v>
      </c>
      <c r="F106" s="209">
        <v>10337</v>
      </c>
      <c r="G106" s="232">
        <v>10337</v>
      </c>
      <c r="H106" s="438">
        <v>4192.18</v>
      </c>
      <c r="I106" s="212">
        <f t="shared" si="19"/>
        <v>40.555093353971174</v>
      </c>
    </row>
    <row r="107" spans="1:9" ht="17.100000000000001" customHeight="1" thickBot="1" x14ac:dyDescent="0.3">
      <c r="A107" s="330" t="s">
        <v>245</v>
      </c>
      <c r="B107" s="217">
        <v>0</v>
      </c>
      <c r="C107" s="240">
        <v>0</v>
      </c>
      <c r="D107" s="441">
        <v>0</v>
      </c>
      <c r="E107" s="219"/>
      <c r="F107" s="217">
        <v>0</v>
      </c>
      <c r="G107" s="240">
        <v>0</v>
      </c>
      <c r="H107" s="441">
        <v>0</v>
      </c>
      <c r="I107" s="219"/>
    </row>
    <row r="108" spans="1:9" ht="17.100000000000001" customHeight="1" thickBot="1" x14ac:dyDescent="0.3">
      <c r="A108" s="272" t="s">
        <v>246</v>
      </c>
      <c r="B108" s="331">
        <f>SUM(B105:B107)</f>
        <v>258288</v>
      </c>
      <c r="C108" s="332">
        <f t="shared" ref="C108:D108" si="26">SUM(C105:C107)</f>
        <v>260588</v>
      </c>
      <c r="D108" s="451">
        <f t="shared" si="26"/>
        <v>100461.11</v>
      </c>
      <c r="E108" s="211">
        <f t="shared" ref="E108" si="27">D108/C108*100</f>
        <v>38.551702304020139</v>
      </c>
      <c r="F108" s="261">
        <f>SUM(F105:F107)</f>
        <v>216337</v>
      </c>
      <c r="G108" s="262">
        <f t="shared" ref="G108:H108" si="28">SUM(G105:G107)</f>
        <v>227342</v>
      </c>
      <c r="H108" s="445">
        <f t="shared" si="28"/>
        <v>80998.41</v>
      </c>
      <c r="I108" s="266">
        <f t="shared" ref="I108" si="29">H108/G108*100</f>
        <v>35.628440851228547</v>
      </c>
    </row>
    <row r="109" spans="1:9" ht="17.100000000000001" customHeight="1" x14ac:dyDescent="0.25">
      <c r="A109" s="275" t="s">
        <v>247</v>
      </c>
      <c r="B109" s="205">
        <v>168000</v>
      </c>
      <c r="C109" s="318">
        <v>168000</v>
      </c>
      <c r="D109" s="440">
        <v>50103.82</v>
      </c>
      <c r="E109" s="207">
        <f t="shared" si="20"/>
        <v>29.823702380952383</v>
      </c>
      <c r="F109" s="205">
        <v>142000</v>
      </c>
      <c r="G109" s="318">
        <v>142000</v>
      </c>
      <c r="H109" s="440">
        <v>56746.85</v>
      </c>
      <c r="I109" s="207">
        <f t="shared" si="19"/>
        <v>39.962570422535208</v>
      </c>
    </row>
    <row r="110" spans="1:9" ht="17.100000000000001" customHeight="1" x14ac:dyDescent="0.25">
      <c r="A110" s="270" t="s">
        <v>248</v>
      </c>
      <c r="B110" s="209">
        <v>44049</v>
      </c>
      <c r="C110" s="232">
        <v>44049</v>
      </c>
      <c r="D110" s="438">
        <v>12333.15</v>
      </c>
      <c r="E110" s="212">
        <f t="shared" si="20"/>
        <v>27.998705986515017</v>
      </c>
      <c r="F110" s="209">
        <v>33540</v>
      </c>
      <c r="G110" s="232">
        <v>33540</v>
      </c>
      <c r="H110" s="438">
        <v>13695.68</v>
      </c>
      <c r="I110" s="212">
        <f t="shared" si="19"/>
        <v>40.833870005963028</v>
      </c>
    </row>
    <row r="111" spans="1:9" ht="17.100000000000001" customHeight="1" x14ac:dyDescent="0.25">
      <c r="A111" s="276" t="s">
        <v>249</v>
      </c>
      <c r="B111" s="209">
        <v>60000</v>
      </c>
      <c r="C111" s="232">
        <v>60000</v>
      </c>
      <c r="D111" s="438">
        <v>19702.13</v>
      </c>
      <c r="E111" s="212">
        <f t="shared" si="20"/>
        <v>32.836883333333333</v>
      </c>
      <c r="F111" s="209">
        <v>27648</v>
      </c>
      <c r="G111" s="232">
        <v>27648</v>
      </c>
      <c r="H111" s="438">
        <v>23161.279999999999</v>
      </c>
      <c r="I111" s="212">
        <f t="shared" si="19"/>
        <v>83.771990740740733</v>
      </c>
    </row>
    <row r="112" spans="1:9" ht="17.100000000000001" customHeight="1" x14ac:dyDescent="0.25">
      <c r="A112" s="277" t="s">
        <v>250</v>
      </c>
      <c r="B112" s="234">
        <v>0</v>
      </c>
      <c r="C112" s="235">
        <v>0</v>
      </c>
      <c r="D112" s="438">
        <v>74980.600000000006</v>
      </c>
      <c r="E112" s="212"/>
      <c r="F112" s="234">
        <v>0</v>
      </c>
      <c r="G112" s="235">
        <v>0</v>
      </c>
      <c r="H112" s="438">
        <v>63224.2</v>
      </c>
      <c r="I112" s="212"/>
    </row>
    <row r="113" spans="1:9" ht="17.100000000000001" customHeight="1" x14ac:dyDescent="0.25">
      <c r="A113" s="277" t="s">
        <v>251</v>
      </c>
      <c r="B113" s="234">
        <v>0</v>
      </c>
      <c r="C113" s="235">
        <v>0</v>
      </c>
      <c r="D113" s="438">
        <v>0</v>
      </c>
      <c r="E113" s="212"/>
      <c r="F113" s="234">
        <v>0</v>
      </c>
      <c r="G113" s="235">
        <v>0</v>
      </c>
      <c r="H113" s="438">
        <v>127.4</v>
      </c>
      <c r="I113" s="212"/>
    </row>
    <row r="114" spans="1:9" ht="17.100000000000001" customHeight="1" thickBot="1" x14ac:dyDescent="0.3">
      <c r="A114" s="271" t="s">
        <v>252</v>
      </c>
      <c r="B114" s="217">
        <v>0</v>
      </c>
      <c r="C114" s="240">
        <v>0</v>
      </c>
      <c r="D114" s="441">
        <v>0</v>
      </c>
      <c r="E114" s="219"/>
      <c r="F114" s="237">
        <v>0</v>
      </c>
      <c r="G114" s="238">
        <v>0</v>
      </c>
      <c r="H114" s="439">
        <v>0</v>
      </c>
      <c r="I114" s="259"/>
    </row>
    <row r="115" spans="1:9" ht="17.100000000000001" customHeight="1" thickBot="1" x14ac:dyDescent="0.3">
      <c r="A115" s="278" t="s">
        <v>253</v>
      </c>
      <c r="B115" s="333">
        <f>SUM(B109:B114)</f>
        <v>272049</v>
      </c>
      <c r="C115" s="334">
        <f t="shared" ref="C115:D115" si="30">SUM(C109:C114)</f>
        <v>272049</v>
      </c>
      <c r="D115" s="452">
        <f t="shared" si="30"/>
        <v>157119.70000000001</v>
      </c>
      <c r="E115" s="211">
        <f t="shared" ref="E115:E116" si="31">D115/C115*100</f>
        <v>57.754191340530568</v>
      </c>
      <c r="F115" s="333">
        <f>SUM(F109:F114)</f>
        <v>203188</v>
      </c>
      <c r="G115" s="334">
        <f t="shared" ref="G115:H115" si="32">SUM(G109:G114)</f>
        <v>203188</v>
      </c>
      <c r="H115" s="452">
        <f t="shared" si="32"/>
        <v>156955.41</v>
      </c>
      <c r="I115" s="266">
        <f t="shared" ref="I115:I116" si="33">H115/G115*100</f>
        <v>77.24639742504479</v>
      </c>
    </row>
    <row r="116" spans="1:9" ht="20.25" customHeight="1" thickBot="1" x14ac:dyDescent="0.3">
      <c r="A116" s="298" t="s">
        <v>254</v>
      </c>
      <c r="B116" s="281">
        <f>B78+B104</f>
        <v>1863196</v>
      </c>
      <c r="C116" s="282">
        <f>C78+C104</f>
        <v>2120321</v>
      </c>
      <c r="D116" s="282">
        <f>D78+D104</f>
        <v>1064100.51</v>
      </c>
      <c r="E116" s="283">
        <f t="shared" si="31"/>
        <v>50.185821392138266</v>
      </c>
      <c r="F116" s="281">
        <f>F78+F104</f>
        <v>1572584</v>
      </c>
      <c r="G116" s="282">
        <f>G78+G104</f>
        <v>1694092</v>
      </c>
      <c r="H116" s="282">
        <f>H78+H104</f>
        <v>879303.65999999992</v>
      </c>
      <c r="I116" s="283">
        <f t="shared" si="33"/>
        <v>51.904126812475347</v>
      </c>
    </row>
    <row r="117" spans="1:9" ht="17.100000000000001" customHeight="1" x14ac:dyDescent="0.25">
      <c r="A117" s="284" t="s">
        <v>255</v>
      </c>
      <c r="B117" s="245">
        <v>0</v>
      </c>
      <c r="C117" s="335">
        <v>0</v>
      </c>
      <c r="D117" s="453">
        <v>0</v>
      </c>
      <c r="E117" s="207"/>
      <c r="F117" s="245">
        <v>0</v>
      </c>
      <c r="G117" s="335">
        <v>0</v>
      </c>
      <c r="H117" s="453">
        <v>0</v>
      </c>
      <c r="I117" s="207"/>
    </row>
    <row r="118" spans="1:9" ht="17.100000000000001" customHeight="1" thickBot="1" x14ac:dyDescent="0.3">
      <c r="A118" s="291" t="s">
        <v>256</v>
      </c>
      <c r="B118" s="217">
        <v>0</v>
      </c>
      <c r="C118" s="336">
        <v>0</v>
      </c>
      <c r="D118" s="454">
        <v>0</v>
      </c>
      <c r="E118" s="219"/>
      <c r="F118" s="217">
        <v>0</v>
      </c>
      <c r="G118" s="336">
        <v>0</v>
      </c>
      <c r="H118" s="454">
        <v>0</v>
      </c>
      <c r="I118" s="219"/>
    </row>
    <row r="119" spans="1:9" ht="21" customHeight="1" thickBot="1" x14ac:dyDescent="0.3">
      <c r="A119" s="298" t="s">
        <v>257</v>
      </c>
      <c r="B119" s="281">
        <f>SUM(B116:B118)</f>
        <v>1863196</v>
      </c>
      <c r="C119" s="282">
        <f t="shared" ref="C119:D119" si="34">SUM(C116:C118)</f>
        <v>2120321</v>
      </c>
      <c r="D119" s="282">
        <f t="shared" si="34"/>
        <v>1064100.51</v>
      </c>
      <c r="E119" s="222">
        <f t="shared" ref="E119" si="35">D119/C119*100</f>
        <v>50.185821392138266</v>
      </c>
      <c r="F119" s="281">
        <f t="shared" ref="F119:H119" si="36">SUM(F116:F118)</f>
        <v>1572584</v>
      </c>
      <c r="G119" s="282">
        <f t="shared" si="36"/>
        <v>1694092</v>
      </c>
      <c r="H119" s="282">
        <f t="shared" si="36"/>
        <v>879303.65999999992</v>
      </c>
      <c r="I119" s="222">
        <f t="shared" si="19"/>
        <v>51.904126812475347</v>
      </c>
    </row>
    <row r="120" spans="1:9" ht="21" customHeight="1" x14ac:dyDescent="0.25">
      <c r="A120" s="192"/>
      <c r="C120" s="301"/>
      <c r="D120" s="301"/>
      <c r="E120" s="301"/>
      <c r="F120" s="301"/>
      <c r="G120" s="301"/>
      <c r="H120" s="301"/>
    </row>
    <row r="121" spans="1:9" ht="23.25" customHeight="1" x14ac:dyDescent="0.25">
      <c r="C121" s="301"/>
      <c r="D121" s="302"/>
      <c r="E121" s="301"/>
      <c r="F121" s="301"/>
      <c r="G121" s="301"/>
      <c r="H121" s="302"/>
    </row>
    <row r="122" spans="1:9" ht="21.75" customHeight="1" x14ac:dyDescent="0.25"/>
    <row r="123" spans="1:9" ht="21.75" customHeight="1" x14ac:dyDescent="0.25"/>
    <row r="124" spans="1:9" ht="17.25" customHeight="1" x14ac:dyDescent="0.25"/>
    <row r="126" spans="1:9" ht="20.25" x14ac:dyDescent="0.25">
      <c r="A126" s="603" t="s">
        <v>201</v>
      </c>
      <c r="B126" s="603"/>
      <c r="C126" s="603"/>
      <c r="D126" s="603"/>
      <c r="E126" s="603"/>
      <c r="F126" s="603"/>
      <c r="G126" s="603"/>
      <c r="H126" s="603"/>
      <c r="I126" s="603"/>
    </row>
    <row r="127" spans="1:9" ht="20.25" x14ac:dyDescent="0.25">
      <c r="A127" s="603" t="s">
        <v>258</v>
      </c>
      <c r="B127" s="603"/>
      <c r="C127" s="603"/>
      <c r="D127" s="603"/>
      <c r="E127" s="603"/>
      <c r="F127" s="603"/>
      <c r="G127" s="603"/>
      <c r="H127" s="603"/>
      <c r="I127" s="603"/>
    </row>
    <row r="128" spans="1:9" ht="14.25" hidden="1" customHeight="1" x14ac:dyDescent="0.25">
      <c r="A128" s="304"/>
      <c r="B128" s="305"/>
      <c r="C128" s="305"/>
      <c r="D128" s="305"/>
      <c r="E128" s="305"/>
      <c r="F128" s="305"/>
      <c r="G128" s="305"/>
      <c r="H128" s="305"/>
      <c r="I128" s="337"/>
    </row>
    <row r="129" spans="1:9" ht="17.25" hidden="1" customHeight="1" x14ac:dyDescent="0.25">
      <c r="A129" s="304"/>
      <c r="B129" s="305"/>
      <c r="C129" s="305"/>
      <c r="D129" s="305"/>
      <c r="E129" s="305"/>
      <c r="F129" s="305"/>
      <c r="G129" s="305"/>
      <c r="H129" s="305"/>
      <c r="I129" s="337"/>
    </row>
    <row r="130" spans="1:9" ht="25.5" customHeight="1" x14ac:dyDescent="0.25">
      <c r="A130" s="306"/>
      <c r="B130" s="307"/>
      <c r="C130" s="307"/>
      <c r="D130" s="307"/>
      <c r="E130" s="303"/>
      <c r="F130" s="303"/>
      <c r="G130" s="307"/>
      <c r="H130" s="307"/>
      <c r="I130" s="303"/>
    </row>
    <row r="131" spans="1:9" ht="17.100000000000001" customHeight="1" x14ac:dyDescent="0.25">
      <c r="A131" s="338"/>
      <c r="B131" s="339"/>
      <c r="C131" s="339"/>
      <c r="D131" s="339"/>
      <c r="E131" s="339"/>
      <c r="F131" s="339"/>
      <c r="G131" s="340"/>
      <c r="H131" s="604" t="s">
        <v>263</v>
      </c>
      <c r="I131" s="604"/>
    </row>
    <row r="132" spans="1:9" ht="17.100000000000001" customHeight="1" thickBot="1" x14ac:dyDescent="0.3">
      <c r="A132" s="341"/>
      <c r="B132" s="342"/>
      <c r="C132" s="343"/>
      <c r="D132" s="343"/>
      <c r="E132" s="343"/>
      <c r="F132" s="343"/>
      <c r="G132" s="343"/>
      <c r="H132" s="340"/>
      <c r="I132" s="191" t="s">
        <v>204</v>
      </c>
    </row>
    <row r="133" spans="1:9" ht="20.100000000000001" customHeight="1" thickBot="1" x14ac:dyDescent="0.3">
      <c r="A133" s="598" t="s">
        <v>205</v>
      </c>
      <c r="B133" s="600" t="s">
        <v>116</v>
      </c>
      <c r="C133" s="601"/>
      <c r="D133" s="601"/>
      <c r="E133" s="602"/>
      <c r="F133" s="600" t="s">
        <v>264</v>
      </c>
      <c r="G133" s="601"/>
      <c r="H133" s="601"/>
      <c r="I133" s="602"/>
    </row>
    <row r="134" spans="1:9" ht="39" thickBot="1" x14ac:dyDescent="0.3">
      <c r="A134" s="599"/>
      <c r="B134" s="193" t="s">
        <v>2</v>
      </c>
      <c r="C134" s="194" t="s">
        <v>208</v>
      </c>
      <c r="D134" s="195" t="s">
        <v>209</v>
      </c>
      <c r="E134" s="196" t="s">
        <v>61</v>
      </c>
      <c r="F134" s="193" t="s">
        <v>2</v>
      </c>
      <c r="G134" s="194" t="s">
        <v>208</v>
      </c>
      <c r="H134" s="195" t="s">
        <v>209</v>
      </c>
      <c r="I134" s="196" t="s">
        <v>61</v>
      </c>
    </row>
    <row r="135" spans="1:9" ht="18" customHeight="1" thickBot="1" x14ac:dyDescent="0.3">
      <c r="A135" s="197" t="s">
        <v>210</v>
      </c>
      <c r="B135" s="344">
        <f>SUM(B136:B140)</f>
        <v>150546</v>
      </c>
      <c r="C135" s="345">
        <f>SUM(C136:C140)</f>
        <v>151246</v>
      </c>
      <c r="D135" s="345">
        <f>SUM(D136:D140)</f>
        <v>97662.46</v>
      </c>
      <c r="E135" s="346">
        <f t="shared" ref="E135:E182" si="37">D135/C135*100</f>
        <v>64.571929174986451</v>
      </c>
      <c r="F135" s="198">
        <f>SUM(F136:F140)</f>
        <v>112102</v>
      </c>
      <c r="G135" s="199">
        <f>SUM(G136:G140)</f>
        <v>114882</v>
      </c>
      <c r="H135" s="199">
        <f>SUM(H136:H140)</f>
        <v>74202.179999999993</v>
      </c>
      <c r="I135" s="200">
        <f t="shared" ref="I135:I166" si="38">H135/G135*100</f>
        <v>64.589909646419798</v>
      </c>
    </row>
    <row r="136" spans="1:9" x14ac:dyDescent="0.25">
      <c r="A136" s="347" t="s">
        <v>211</v>
      </c>
      <c r="B136" s="205">
        <v>85750</v>
      </c>
      <c r="C136" s="206">
        <v>85750</v>
      </c>
      <c r="D136" s="440">
        <v>56023.08</v>
      </c>
      <c r="E136" s="348">
        <f t="shared" si="37"/>
        <v>65.333037900874629</v>
      </c>
      <c r="F136" s="205">
        <v>67150</v>
      </c>
      <c r="G136" s="318">
        <v>67150</v>
      </c>
      <c r="H136" s="440">
        <v>38225</v>
      </c>
      <c r="I136" s="348">
        <f t="shared" si="38"/>
        <v>56.924795234549521</v>
      </c>
    </row>
    <row r="137" spans="1:9" x14ac:dyDescent="0.25">
      <c r="A137" s="347" t="s">
        <v>212</v>
      </c>
      <c r="B137" s="209">
        <v>39000</v>
      </c>
      <c r="C137" s="210">
        <v>39000</v>
      </c>
      <c r="D137" s="438">
        <v>24521.5</v>
      </c>
      <c r="E137" s="233">
        <f t="shared" si="37"/>
        <v>62.875641025641031</v>
      </c>
      <c r="F137" s="209">
        <v>38850</v>
      </c>
      <c r="G137" s="232">
        <v>38850</v>
      </c>
      <c r="H137" s="438">
        <v>22172.5</v>
      </c>
      <c r="I137" s="233">
        <f t="shared" si="38"/>
        <v>57.072072072072075</v>
      </c>
    </row>
    <row r="138" spans="1:9" x14ac:dyDescent="0.25">
      <c r="A138" s="349" t="s">
        <v>213</v>
      </c>
      <c r="B138" s="209">
        <v>7753</v>
      </c>
      <c r="C138" s="210">
        <v>7753</v>
      </c>
      <c r="D138" s="438">
        <v>3958.22</v>
      </c>
      <c r="E138" s="350">
        <f t="shared" si="37"/>
        <v>51.054043596027341</v>
      </c>
      <c r="F138" s="209">
        <v>6102</v>
      </c>
      <c r="G138" s="232">
        <v>6102</v>
      </c>
      <c r="H138" s="438">
        <v>5804.7</v>
      </c>
      <c r="I138" s="350">
        <f t="shared" si="38"/>
        <v>95.127826941986228</v>
      </c>
    </row>
    <row r="139" spans="1:9" x14ac:dyDescent="0.25">
      <c r="A139" s="347" t="s">
        <v>214</v>
      </c>
      <c r="B139" s="209">
        <v>18043</v>
      </c>
      <c r="C139" s="210">
        <v>18043</v>
      </c>
      <c r="D139" s="438">
        <v>12335.52</v>
      </c>
      <c r="E139" s="350">
        <f t="shared" si="37"/>
        <v>68.367344676605896</v>
      </c>
      <c r="F139" s="209">
        <v>0</v>
      </c>
      <c r="G139" s="232">
        <v>0</v>
      </c>
      <c r="H139" s="438">
        <v>4826.26</v>
      </c>
      <c r="I139" s="350"/>
    </row>
    <row r="140" spans="1:9" ht="15.75" thickBot="1" x14ac:dyDescent="0.3">
      <c r="A140" s="351" t="s">
        <v>215</v>
      </c>
      <c r="B140" s="217">
        <v>0</v>
      </c>
      <c r="C140" s="218">
        <v>700</v>
      </c>
      <c r="D140" s="441">
        <f>112.61+11.53+450+250</f>
        <v>824.14</v>
      </c>
      <c r="E140" s="352">
        <f t="shared" si="37"/>
        <v>117.7342857142857</v>
      </c>
      <c r="F140" s="217">
        <v>0</v>
      </c>
      <c r="G140" s="240">
        <v>2780</v>
      </c>
      <c r="H140" s="441">
        <f>280+2500+393.72</f>
        <v>3173.7200000000003</v>
      </c>
      <c r="I140" s="350">
        <f t="shared" si="38"/>
        <v>114.16258992805757</v>
      </c>
    </row>
    <row r="141" spans="1:9" ht="20.25" customHeight="1" thickBot="1" x14ac:dyDescent="0.3">
      <c r="A141" s="353" t="s">
        <v>216</v>
      </c>
      <c r="B141" s="220">
        <f>B142+B165+B166</f>
        <v>1083643</v>
      </c>
      <c r="C141" s="354">
        <f>C142+C165+C166</f>
        <v>1193422</v>
      </c>
      <c r="D141" s="354">
        <f>D142+D165+D166</f>
        <v>617219.62</v>
      </c>
      <c r="E141" s="315"/>
      <c r="F141" s="220">
        <f>F142+F165+F166</f>
        <v>1127536</v>
      </c>
      <c r="G141" s="221">
        <f>G142+G165+G166</f>
        <v>1284487</v>
      </c>
      <c r="H141" s="221">
        <f>H142+H165+H166</f>
        <v>647741.05999999994</v>
      </c>
      <c r="I141" s="316"/>
    </row>
    <row r="142" spans="1:9" ht="15.75" thickBot="1" x14ac:dyDescent="0.3">
      <c r="A142" s="272" t="s">
        <v>217</v>
      </c>
      <c r="B142" s="224">
        <f>B147+B163+B164</f>
        <v>1083643</v>
      </c>
      <c r="C142" s="225">
        <f>C147+C163+C164</f>
        <v>1192680</v>
      </c>
      <c r="D142" s="442">
        <f>D147+D163+D164</f>
        <v>616477.62</v>
      </c>
      <c r="E142" s="355">
        <f t="shared" si="37"/>
        <v>51.688434450145891</v>
      </c>
      <c r="F142" s="224">
        <f>F147+F163+F164</f>
        <v>1127536</v>
      </c>
      <c r="G142" s="225">
        <f>G147+G163+G164</f>
        <v>1280487</v>
      </c>
      <c r="H142" s="442">
        <f>H147+H163+H164</f>
        <v>645241.05999999994</v>
      </c>
      <c r="I142" s="355">
        <f t="shared" si="38"/>
        <v>50.390285883417782</v>
      </c>
    </row>
    <row r="143" spans="1:9" x14ac:dyDescent="0.25">
      <c r="A143" s="356" t="s">
        <v>218</v>
      </c>
      <c r="B143" s="205">
        <v>927605</v>
      </c>
      <c r="C143" s="318">
        <v>987385</v>
      </c>
      <c r="D143" s="440">
        <v>451513.29</v>
      </c>
      <c r="E143" s="357">
        <f t="shared" si="37"/>
        <v>45.728190118342894</v>
      </c>
      <c r="F143" s="205">
        <v>941967</v>
      </c>
      <c r="G143" s="318">
        <v>1063151</v>
      </c>
      <c r="H143" s="440">
        <v>461363.23</v>
      </c>
      <c r="I143" s="357">
        <f t="shared" si="38"/>
        <v>43.395832765054074</v>
      </c>
    </row>
    <row r="144" spans="1:9" x14ac:dyDescent="0.25">
      <c r="A144" s="319" t="s">
        <v>219</v>
      </c>
      <c r="B144" s="209">
        <v>156038</v>
      </c>
      <c r="C144" s="210">
        <v>128891</v>
      </c>
      <c r="D144" s="438">
        <v>33477.46</v>
      </c>
      <c r="E144" s="350">
        <f t="shared" si="37"/>
        <v>25.973465951850788</v>
      </c>
      <c r="F144" s="209">
        <v>185569</v>
      </c>
      <c r="G144" s="210">
        <v>141122</v>
      </c>
      <c r="H144" s="438">
        <v>38296.120000000003</v>
      </c>
      <c r="I144" s="350">
        <f t="shared" si="38"/>
        <v>27.136888649537283</v>
      </c>
    </row>
    <row r="145" spans="1:9" x14ac:dyDescent="0.25">
      <c r="A145" s="320" t="s">
        <v>265</v>
      </c>
      <c r="B145" s="234">
        <v>0</v>
      </c>
      <c r="C145" s="235">
        <v>0</v>
      </c>
      <c r="D145" s="438">
        <f>58295.87+3095</f>
        <v>61390.87</v>
      </c>
      <c r="E145" s="350"/>
      <c r="F145" s="234">
        <v>0</v>
      </c>
      <c r="G145" s="235">
        <v>0</v>
      </c>
      <c r="H145" s="438">
        <f>46588.59+23759.32</f>
        <v>70347.91</v>
      </c>
      <c r="I145" s="350"/>
    </row>
    <row r="146" spans="1:9" ht="15.75" thickBot="1" x14ac:dyDescent="0.3">
      <c r="A146" s="321" t="s">
        <v>262</v>
      </c>
      <c r="B146" s="217">
        <v>0</v>
      </c>
      <c r="C146" s="240">
        <v>0</v>
      </c>
      <c r="D146" s="441">
        <v>0</v>
      </c>
      <c r="E146" s="358"/>
      <c r="F146" s="217">
        <v>0</v>
      </c>
      <c r="G146" s="240">
        <v>0</v>
      </c>
      <c r="H146" s="441">
        <v>0</v>
      </c>
      <c r="I146" s="358"/>
    </row>
    <row r="147" spans="1:9" ht="26.25" thickBot="1" x14ac:dyDescent="0.3">
      <c r="A147" s="322" t="s">
        <v>222</v>
      </c>
      <c r="B147" s="261">
        <f>SUM(B143:B146)</f>
        <v>1083643</v>
      </c>
      <c r="C147" s="262">
        <f t="shared" ref="C147:D147" si="39">SUM(C143:C146)</f>
        <v>1116276</v>
      </c>
      <c r="D147" s="445">
        <f t="shared" si="39"/>
        <v>546381.62</v>
      </c>
      <c r="E147" s="359">
        <f t="shared" si="37"/>
        <v>48.946821395425502</v>
      </c>
      <c r="F147" s="261">
        <f>SUM(F143:F146)</f>
        <v>1127536</v>
      </c>
      <c r="G147" s="262">
        <f t="shared" ref="G147:H147" si="40">SUM(G143:G146)</f>
        <v>1204273</v>
      </c>
      <c r="H147" s="445">
        <f t="shared" si="40"/>
        <v>570007.26</v>
      </c>
      <c r="I147" s="359">
        <f t="shared" si="38"/>
        <v>47.332063410871122</v>
      </c>
    </row>
    <row r="148" spans="1:9" x14ac:dyDescent="0.25">
      <c r="A148" s="242" t="s">
        <v>223</v>
      </c>
      <c r="B148" s="243">
        <v>0</v>
      </c>
      <c r="C148" s="323">
        <v>13056</v>
      </c>
      <c r="D148" s="437">
        <v>3916</v>
      </c>
      <c r="E148" s="360">
        <f t="shared" si="37"/>
        <v>29.993872549019606</v>
      </c>
      <c r="F148" s="245">
        <v>0</v>
      </c>
      <c r="G148" s="246">
        <v>3968</v>
      </c>
      <c r="H148" s="440">
        <v>0</v>
      </c>
      <c r="I148" s="357">
        <f t="shared" si="38"/>
        <v>0</v>
      </c>
    </row>
    <row r="149" spans="1:9" x14ac:dyDescent="0.25">
      <c r="A149" s="247" t="s">
        <v>224</v>
      </c>
      <c r="B149" s="234">
        <v>0</v>
      </c>
      <c r="C149" s="235">
        <v>1767</v>
      </c>
      <c r="D149" s="438">
        <v>1767</v>
      </c>
      <c r="E149" s="360">
        <f t="shared" si="37"/>
        <v>100</v>
      </c>
      <c r="F149" s="234">
        <v>0</v>
      </c>
      <c r="G149" s="235">
        <v>0</v>
      </c>
      <c r="H149" s="438">
        <v>0</v>
      </c>
      <c r="I149" s="361"/>
    </row>
    <row r="150" spans="1:9" x14ac:dyDescent="0.25">
      <c r="A150" s="247" t="s">
        <v>225</v>
      </c>
      <c r="B150" s="234">
        <v>0</v>
      </c>
      <c r="C150" s="235">
        <v>6850</v>
      </c>
      <c r="D150" s="438">
        <v>0</v>
      </c>
      <c r="E150" s="362">
        <f t="shared" si="37"/>
        <v>0</v>
      </c>
      <c r="F150" s="234">
        <v>0</v>
      </c>
      <c r="G150" s="235">
        <v>17124</v>
      </c>
      <c r="H150" s="438">
        <v>21152.54</v>
      </c>
      <c r="I150" s="350">
        <f t="shared" si="38"/>
        <v>123.52569493109087</v>
      </c>
    </row>
    <row r="151" spans="1:9" x14ac:dyDescent="0.25">
      <c r="A151" s="250" t="s">
        <v>226</v>
      </c>
      <c r="B151" s="234">
        <v>0</v>
      </c>
      <c r="C151" s="235">
        <v>4350</v>
      </c>
      <c r="D151" s="438">
        <v>2850</v>
      </c>
      <c r="E151" s="362">
        <f t="shared" si="37"/>
        <v>65.517241379310349</v>
      </c>
      <c r="F151" s="234">
        <v>0</v>
      </c>
      <c r="G151" s="235">
        <v>9150</v>
      </c>
      <c r="H151" s="438">
        <v>0</v>
      </c>
      <c r="I151" s="350">
        <f t="shared" si="38"/>
        <v>0</v>
      </c>
    </row>
    <row r="152" spans="1:9" x14ac:dyDescent="0.25">
      <c r="A152" s="247" t="s">
        <v>227</v>
      </c>
      <c r="B152" s="234">
        <v>0</v>
      </c>
      <c r="C152" s="235">
        <v>0</v>
      </c>
      <c r="D152" s="438">
        <v>0</v>
      </c>
      <c r="E152" s="362"/>
      <c r="F152" s="234">
        <v>0</v>
      </c>
      <c r="G152" s="235">
        <v>0</v>
      </c>
      <c r="H152" s="438">
        <v>0</v>
      </c>
      <c r="I152" s="350"/>
    </row>
    <row r="153" spans="1:9" x14ac:dyDescent="0.25">
      <c r="A153" s="250" t="s">
        <v>228</v>
      </c>
      <c r="B153" s="234">
        <v>0</v>
      </c>
      <c r="C153" s="235">
        <v>12868</v>
      </c>
      <c r="D153" s="438">
        <v>5204.66</v>
      </c>
      <c r="E153" s="362">
        <f t="shared" si="37"/>
        <v>40.446534037923534</v>
      </c>
      <c r="F153" s="234">
        <v>0</v>
      </c>
      <c r="G153" s="235">
        <v>12857</v>
      </c>
      <c r="H153" s="438">
        <v>7742.77</v>
      </c>
      <c r="I153" s="350">
        <f t="shared" si="38"/>
        <v>60.222213580150893</v>
      </c>
    </row>
    <row r="154" spans="1:9" x14ac:dyDescent="0.25">
      <c r="A154" s="250" t="s">
        <v>229</v>
      </c>
      <c r="B154" s="234">
        <v>0</v>
      </c>
      <c r="C154" s="235">
        <v>4700</v>
      </c>
      <c r="D154" s="438">
        <v>4000</v>
      </c>
      <c r="E154" s="362">
        <f t="shared" si="37"/>
        <v>85.106382978723403</v>
      </c>
      <c r="F154" s="234">
        <v>0</v>
      </c>
      <c r="G154" s="235">
        <v>6800</v>
      </c>
      <c r="H154" s="438">
        <v>3300</v>
      </c>
      <c r="I154" s="350">
        <f t="shared" si="38"/>
        <v>48.529411764705884</v>
      </c>
    </row>
    <row r="155" spans="1:9" x14ac:dyDescent="0.25">
      <c r="A155" s="247" t="s">
        <v>230</v>
      </c>
      <c r="B155" s="234">
        <v>0</v>
      </c>
      <c r="C155" s="235">
        <v>0</v>
      </c>
      <c r="D155" s="438">
        <v>0</v>
      </c>
      <c r="E155" s="362"/>
      <c r="F155" s="234">
        <v>0</v>
      </c>
      <c r="G155" s="235">
        <v>0</v>
      </c>
      <c r="H155" s="438">
        <v>0</v>
      </c>
      <c r="I155" s="350"/>
    </row>
    <row r="156" spans="1:9" x14ac:dyDescent="0.25">
      <c r="A156" s="247" t="s">
        <v>231</v>
      </c>
      <c r="B156" s="234">
        <v>0</v>
      </c>
      <c r="C156" s="235">
        <v>0</v>
      </c>
      <c r="D156" s="438">
        <v>0</v>
      </c>
      <c r="E156" s="362"/>
      <c r="F156" s="234">
        <v>0</v>
      </c>
      <c r="G156" s="235">
        <v>0</v>
      </c>
      <c r="H156" s="438">
        <v>0</v>
      </c>
      <c r="I156" s="350"/>
    </row>
    <row r="157" spans="1:9" x14ac:dyDescent="0.25">
      <c r="A157" s="251" t="s">
        <v>232</v>
      </c>
      <c r="B157" s="237">
        <v>0</v>
      </c>
      <c r="C157" s="238">
        <v>0</v>
      </c>
      <c r="D157" s="439">
        <v>0</v>
      </c>
      <c r="E157" s="362"/>
      <c r="F157" s="237">
        <v>0</v>
      </c>
      <c r="G157" s="238">
        <v>0</v>
      </c>
      <c r="H157" s="439">
        <v>0</v>
      </c>
      <c r="I157" s="350"/>
    </row>
    <row r="158" spans="1:9" x14ac:dyDescent="0.25">
      <c r="A158" s="251" t="s">
        <v>233</v>
      </c>
      <c r="B158" s="237">
        <v>0</v>
      </c>
      <c r="C158" s="238">
        <v>0</v>
      </c>
      <c r="D158" s="439">
        <v>0</v>
      </c>
      <c r="E158" s="362"/>
      <c r="F158" s="237">
        <v>0</v>
      </c>
      <c r="G158" s="238">
        <v>0</v>
      </c>
      <c r="H158" s="439">
        <v>0</v>
      </c>
      <c r="I158" s="350"/>
    </row>
    <row r="159" spans="1:9" x14ac:dyDescent="0.25">
      <c r="A159" s="251" t="s">
        <v>234</v>
      </c>
      <c r="B159" s="237">
        <v>0</v>
      </c>
      <c r="C159" s="238">
        <v>0</v>
      </c>
      <c r="D159" s="439">
        <v>0</v>
      </c>
      <c r="E159" s="363"/>
      <c r="F159" s="237">
        <v>0</v>
      </c>
      <c r="G159" s="238">
        <v>0</v>
      </c>
      <c r="H159" s="439">
        <v>0</v>
      </c>
      <c r="I159" s="364"/>
    </row>
    <row r="160" spans="1:9" x14ac:dyDescent="0.25">
      <c r="A160" s="254" t="s">
        <v>235</v>
      </c>
      <c r="B160" s="234">
        <v>0</v>
      </c>
      <c r="C160" s="235">
        <v>32113</v>
      </c>
      <c r="D160" s="438">
        <v>29981.48</v>
      </c>
      <c r="E160" s="362">
        <f>D160/C160*100</f>
        <v>93.362438887677897</v>
      </c>
      <c r="F160" s="234">
        <v>0</v>
      </c>
      <c r="G160" s="235">
        <v>26035</v>
      </c>
      <c r="H160" s="438">
        <v>11144.77</v>
      </c>
      <c r="I160" s="350">
        <f>H160/G160*100</f>
        <v>42.806875360092185</v>
      </c>
    </row>
    <row r="161" spans="1:9" x14ac:dyDescent="0.25">
      <c r="A161" s="254" t="s">
        <v>236</v>
      </c>
      <c r="B161" s="234">
        <v>0</v>
      </c>
      <c r="C161" s="235">
        <v>0</v>
      </c>
      <c r="D161" s="438">
        <v>0</v>
      </c>
      <c r="E161" s="362"/>
      <c r="F161" s="234">
        <v>0</v>
      </c>
      <c r="G161" s="235">
        <v>0</v>
      </c>
      <c r="H161" s="438">
        <v>0</v>
      </c>
      <c r="I161" s="350"/>
    </row>
    <row r="162" spans="1:9" ht="15.75" thickBot="1" x14ac:dyDescent="0.3">
      <c r="A162" s="256" t="s">
        <v>237</v>
      </c>
      <c r="B162" s="237">
        <v>0</v>
      </c>
      <c r="C162" s="238">
        <v>0</v>
      </c>
      <c r="D162" s="439">
        <v>0</v>
      </c>
      <c r="E162" s="363"/>
      <c r="F162" s="217">
        <v>0</v>
      </c>
      <c r="G162" s="240">
        <v>0</v>
      </c>
      <c r="H162" s="441">
        <v>0</v>
      </c>
      <c r="I162" s="358"/>
    </row>
    <row r="163" spans="1:9" ht="15.75" thickBot="1" x14ac:dyDescent="0.3">
      <c r="A163" s="260" t="s">
        <v>238</v>
      </c>
      <c r="B163" s="261">
        <f>SUM(B148:B162)</f>
        <v>0</v>
      </c>
      <c r="C163" s="262">
        <f>SUM(C148:C162)</f>
        <v>75704</v>
      </c>
      <c r="D163" s="445">
        <f>SUM(D148:D162)</f>
        <v>47719.14</v>
      </c>
      <c r="E163" s="355">
        <f t="shared" si="37"/>
        <v>63.033842333298104</v>
      </c>
      <c r="F163" s="365">
        <f>SUM(F148:F162)</f>
        <v>0</v>
      </c>
      <c r="G163" s="366">
        <f>SUM(G148:G162)</f>
        <v>75934</v>
      </c>
      <c r="H163" s="455">
        <f>SUM(H148:H162)</f>
        <v>43340.08</v>
      </c>
      <c r="I163" s="367">
        <f t="shared" si="38"/>
        <v>57.075987041378042</v>
      </c>
    </row>
    <row r="164" spans="1:9" ht="15.75" thickBot="1" x14ac:dyDescent="0.3">
      <c r="A164" s="260" t="s">
        <v>239</v>
      </c>
      <c r="B164" s="261">
        <v>0</v>
      </c>
      <c r="C164" s="262">
        <v>700</v>
      </c>
      <c r="D164" s="445">
        <f>17295.66+250+450+4381.2</f>
        <v>22376.86</v>
      </c>
      <c r="E164" s="355"/>
      <c r="F164" s="261">
        <v>0</v>
      </c>
      <c r="G164" s="262">
        <v>280</v>
      </c>
      <c r="H164" s="445">
        <f>31613.72+280</f>
        <v>31893.72</v>
      </c>
      <c r="I164" s="355"/>
    </row>
    <row r="165" spans="1:9" ht="15.75" thickBot="1" x14ac:dyDescent="0.3">
      <c r="A165" s="260" t="s">
        <v>240</v>
      </c>
      <c r="B165" s="261">
        <v>0</v>
      </c>
      <c r="C165" s="262">
        <v>742</v>
      </c>
      <c r="D165" s="445">
        <v>742</v>
      </c>
      <c r="E165" s="355">
        <f t="shared" si="37"/>
        <v>100</v>
      </c>
      <c r="F165" s="261">
        <v>0</v>
      </c>
      <c r="G165" s="262">
        <v>1500</v>
      </c>
      <c r="H165" s="445">
        <v>0</v>
      </c>
      <c r="I165" s="355">
        <f t="shared" si="38"/>
        <v>0</v>
      </c>
    </row>
    <row r="166" spans="1:9" ht="15.75" thickBot="1" x14ac:dyDescent="0.3">
      <c r="A166" s="260" t="s">
        <v>241</v>
      </c>
      <c r="B166" s="261">
        <v>0</v>
      </c>
      <c r="C166" s="262">
        <v>0</v>
      </c>
      <c r="D166" s="445">
        <v>0</v>
      </c>
      <c r="E166" s="355"/>
      <c r="F166" s="261">
        <v>0</v>
      </c>
      <c r="G166" s="262">
        <v>2500</v>
      </c>
      <c r="H166" s="445">
        <v>2500</v>
      </c>
      <c r="I166" s="355">
        <f t="shared" si="38"/>
        <v>100</v>
      </c>
    </row>
    <row r="167" spans="1:9" ht="26.25" thickBot="1" x14ac:dyDescent="0.3">
      <c r="A167" s="326" t="s">
        <v>242</v>
      </c>
      <c r="B167" s="308">
        <f>B171+B178</f>
        <v>498847</v>
      </c>
      <c r="C167" s="309">
        <f t="shared" ref="C167:D167" si="41">C171+C178</f>
        <v>504331</v>
      </c>
      <c r="D167" s="309">
        <f t="shared" si="41"/>
        <v>249421.2</v>
      </c>
      <c r="E167" s="368">
        <f t="shared" ref="E167" si="42">E168+E169+E172+E173</f>
        <v>162.28411696701778</v>
      </c>
      <c r="F167" s="308">
        <f>F171+F178</f>
        <v>366638</v>
      </c>
      <c r="G167" s="309">
        <f t="shared" ref="G167:H167" si="43">G171+G178</f>
        <v>372380</v>
      </c>
      <c r="H167" s="309">
        <f t="shared" si="43"/>
        <v>224625.87</v>
      </c>
      <c r="I167" s="299">
        <f>H167/G167*100</f>
        <v>60.321679467210906</v>
      </c>
    </row>
    <row r="168" spans="1:9" x14ac:dyDescent="0.25">
      <c r="A168" s="328" t="s">
        <v>243</v>
      </c>
      <c r="B168" s="205">
        <v>301000</v>
      </c>
      <c r="C168" s="318">
        <v>305000</v>
      </c>
      <c r="D168" s="440">
        <v>96907.65</v>
      </c>
      <c r="E168" s="348">
        <f>D168/C168*100</f>
        <v>31.772999999999996</v>
      </c>
      <c r="F168" s="205">
        <v>201000</v>
      </c>
      <c r="G168" s="318">
        <v>206000</v>
      </c>
      <c r="H168" s="440">
        <v>91226.57</v>
      </c>
      <c r="I168" s="350">
        <f t="shared" ref="I168:I169" si="44">H168/G168*100</f>
        <v>44.284742718446608</v>
      </c>
    </row>
    <row r="169" spans="1:9" x14ac:dyDescent="0.25">
      <c r="A169" s="329" t="s">
        <v>244</v>
      </c>
      <c r="B169" s="209">
        <v>12718</v>
      </c>
      <c r="C169" s="232">
        <v>12718</v>
      </c>
      <c r="D169" s="438">
        <v>5890.53</v>
      </c>
      <c r="E169" s="233">
        <f>D169/C169*100</f>
        <v>46.316480578707342</v>
      </c>
      <c r="F169" s="209">
        <v>8435</v>
      </c>
      <c r="G169" s="232">
        <v>8435</v>
      </c>
      <c r="H169" s="438">
        <v>4103.28</v>
      </c>
      <c r="I169" s="350">
        <f t="shared" si="44"/>
        <v>48.645880260818018</v>
      </c>
    </row>
    <row r="170" spans="1:9" ht="15.75" thickBot="1" x14ac:dyDescent="0.3">
      <c r="A170" s="369" t="s">
        <v>245</v>
      </c>
      <c r="B170" s="217">
        <v>0</v>
      </c>
      <c r="C170" s="240">
        <v>0</v>
      </c>
      <c r="D170" s="441">
        <v>0</v>
      </c>
      <c r="E170" s="358"/>
      <c r="F170" s="217">
        <v>0</v>
      </c>
      <c r="G170" s="240">
        <v>0</v>
      </c>
      <c r="H170" s="441">
        <v>0</v>
      </c>
      <c r="I170" s="352"/>
    </row>
    <row r="171" spans="1:9" ht="15.75" thickBot="1" x14ac:dyDescent="0.3">
      <c r="A171" s="272" t="s">
        <v>246</v>
      </c>
      <c r="B171" s="261">
        <f>SUM(B168:B170)</f>
        <v>313718</v>
      </c>
      <c r="C171" s="262">
        <f t="shared" ref="C171:D171" si="45">SUM(C168:C170)</f>
        <v>317718</v>
      </c>
      <c r="D171" s="445">
        <f t="shared" si="45"/>
        <v>102798.18</v>
      </c>
      <c r="E171" s="266">
        <f>D171/C171*100</f>
        <v>32.355164013370349</v>
      </c>
      <c r="F171" s="261">
        <f>SUM(F168:F170)</f>
        <v>209435</v>
      </c>
      <c r="G171" s="262">
        <f t="shared" ref="G171:H171" si="46">SUM(G168:G170)</f>
        <v>214435</v>
      </c>
      <c r="H171" s="445">
        <f t="shared" si="46"/>
        <v>95329.85</v>
      </c>
      <c r="I171" s="350">
        <f t="shared" ref="I171:I182" si="47">H171/G171*100</f>
        <v>44.456292116492179</v>
      </c>
    </row>
    <row r="172" spans="1:9" x14ac:dyDescent="0.25">
      <c r="A172" s="370" t="s">
        <v>247</v>
      </c>
      <c r="B172" s="205">
        <v>139029</v>
      </c>
      <c r="C172" s="318">
        <v>140513</v>
      </c>
      <c r="D172" s="440">
        <v>52584.12</v>
      </c>
      <c r="E172" s="357">
        <f t="shared" si="37"/>
        <v>37.422957306441404</v>
      </c>
      <c r="F172" s="205">
        <v>129000</v>
      </c>
      <c r="G172" s="318">
        <v>129742</v>
      </c>
      <c r="H172" s="440">
        <v>48974.720000000001</v>
      </c>
      <c r="I172" s="371">
        <f t="shared" si="47"/>
        <v>37.747776356152976</v>
      </c>
    </row>
    <row r="173" spans="1:9" x14ac:dyDescent="0.25">
      <c r="A173" s="329" t="s">
        <v>248</v>
      </c>
      <c r="B173" s="209">
        <v>28057</v>
      </c>
      <c r="C173" s="232">
        <v>28057</v>
      </c>
      <c r="D173" s="438">
        <v>13122.73</v>
      </c>
      <c r="E173" s="233">
        <f t="shared" si="37"/>
        <v>46.771679081869053</v>
      </c>
      <c r="F173" s="209">
        <v>28203</v>
      </c>
      <c r="G173" s="232">
        <v>28203</v>
      </c>
      <c r="H173" s="438">
        <v>10004.01</v>
      </c>
      <c r="I173" s="372">
        <f t="shared" si="47"/>
        <v>35.47143920859483</v>
      </c>
    </row>
    <row r="174" spans="1:9" x14ac:dyDescent="0.25">
      <c r="A174" s="373" t="s">
        <v>249</v>
      </c>
      <c r="B174" s="209">
        <v>18043</v>
      </c>
      <c r="C174" s="232">
        <v>18043</v>
      </c>
      <c r="D174" s="438">
        <v>20018.07</v>
      </c>
      <c r="E174" s="233">
        <f t="shared" si="37"/>
        <v>110.94646123150251</v>
      </c>
      <c r="F174" s="209">
        <v>0</v>
      </c>
      <c r="G174" s="232">
        <v>0</v>
      </c>
      <c r="H174" s="438">
        <v>11223.19</v>
      </c>
      <c r="I174" s="372"/>
    </row>
    <row r="175" spans="1:9" x14ac:dyDescent="0.25">
      <c r="A175" s="374" t="s">
        <v>250</v>
      </c>
      <c r="B175" s="234">
        <v>0</v>
      </c>
      <c r="C175" s="235">
        <v>0</v>
      </c>
      <c r="D175" s="438">
        <v>60738.5</v>
      </c>
      <c r="E175" s="233"/>
      <c r="F175" s="234">
        <v>0</v>
      </c>
      <c r="G175" s="235">
        <v>0</v>
      </c>
      <c r="H175" s="438">
        <v>59094.1</v>
      </c>
      <c r="I175" s="372"/>
    </row>
    <row r="176" spans="1:9" x14ac:dyDescent="0.25">
      <c r="A176" s="374" t="s">
        <v>251</v>
      </c>
      <c r="B176" s="234">
        <v>0</v>
      </c>
      <c r="C176" s="235">
        <v>0</v>
      </c>
      <c r="D176" s="438">
        <v>159.6</v>
      </c>
      <c r="E176" s="233"/>
      <c r="F176" s="234">
        <v>0</v>
      </c>
      <c r="G176" s="235">
        <v>0</v>
      </c>
      <c r="H176" s="438">
        <v>0</v>
      </c>
      <c r="I176" s="372"/>
    </row>
    <row r="177" spans="1:9" ht="15.75" thickBot="1" x14ac:dyDescent="0.3">
      <c r="A177" s="330" t="s">
        <v>252</v>
      </c>
      <c r="B177" s="217">
        <v>0</v>
      </c>
      <c r="C177" s="240">
        <v>0</v>
      </c>
      <c r="D177" s="441">
        <v>0</v>
      </c>
      <c r="E177" s="352"/>
      <c r="F177" s="217">
        <v>0</v>
      </c>
      <c r="G177" s="240">
        <v>0</v>
      </c>
      <c r="H177" s="441">
        <v>0</v>
      </c>
      <c r="I177" s="375"/>
    </row>
    <row r="178" spans="1:9" ht="15.75" thickBot="1" x14ac:dyDescent="0.3">
      <c r="A178" s="260" t="s">
        <v>253</v>
      </c>
      <c r="B178" s="333">
        <f>SUM(B172:B177)</f>
        <v>185129</v>
      </c>
      <c r="C178" s="334">
        <f t="shared" ref="C178:D178" si="48">SUM(C172:C177)</f>
        <v>186613</v>
      </c>
      <c r="D178" s="452">
        <f t="shared" si="48"/>
        <v>146623.02000000002</v>
      </c>
      <c r="E178" s="266">
        <f t="shared" ref="E178:E179" si="49">D178/C178*100</f>
        <v>78.570635486273744</v>
      </c>
      <c r="F178" s="333">
        <f>SUM(F172:F177)</f>
        <v>157203</v>
      </c>
      <c r="G178" s="334">
        <f t="shared" ref="G178:H178" si="50">SUM(G172:G177)</f>
        <v>157945</v>
      </c>
      <c r="H178" s="452">
        <f t="shared" si="50"/>
        <v>129296.01999999999</v>
      </c>
      <c r="I178" s="350">
        <f t="shared" ref="I178:I179" si="51">H178/G178*100</f>
        <v>81.861420114596854</v>
      </c>
    </row>
    <row r="179" spans="1:9" ht="18.75" customHeight="1" thickBot="1" x14ac:dyDescent="0.3">
      <c r="A179" s="298" t="s">
        <v>254</v>
      </c>
      <c r="B179" s="281">
        <f>B141+B167</f>
        <v>1582490</v>
      </c>
      <c r="C179" s="282">
        <f>C141+C167</f>
        <v>1697753</v>
      </c>
      <c r="D179" s="282">
        <f>D141+D167</f>
        <v>866640.82000000007</v>
      </c>
      <c r="E179" s="283">
        <f t="shared" si="49"/>
        <v>51.046343019273124</v>
      </c>
      <c r="F179" s="281">
        <f>F141+F167</f>
        <v>1494174</v>
      </c>
      <c r="G179" s="282">
        <f>G141+G167</f>
        <v>1656867</v>
      </c>
      <c r="H179" s="282">
        <f>H141+H167</f>
        <v>872366.92999999993</v>
      </c>
      <c r="I179" s="283">
        <f t="shared" si="51"/>
        <v>52.651596658029874</v>
      </c>
    </row>
    <row r="180" spans="1:9" x14ac:dyDescent="0.25">
      <c r="A180" s="284" t="s">
        <v>255</v>
      </c>
      <c r="B180" s="245">
        <v>0</v>
      </c>
      <c r="C180" s="335">
        <v>0</v>
      </c>
      <c r="D180" s="453">
        <v>0</v>
      </c>
      <c r="E180" s="348"/>
      <c r="F180" s="245">
        <v>0</v>
      </c>
      <c r="G180" s="335">
        <v>0</v>
      </c>
      <c r="H180" s="453">
        <v>0</v>
      </c>
      <c r="I180" s="376"/>
    </row>
    <row r="181" spans="1:9" ht="15.75" thickBot="1" x14ac:dyDescent="0.3">
      <c r="A181" s="291" t="s">
        <v>256</v>
      </c>
      <c r="B181" s="217">
        <v>0</v>
      </c>
      <c r="C181" s="336">
        <v>0</v>
      </c>
      <c r="D181" s="454">
        <v>0</v>
      </c>
      <c r="E181" s="352"/>
      <c r="F181" s="217">
        <v>0</v>
      </c>
      <c r="G181" s="336">
        <v>0</v>
      </c>
      <c r="H181" s="454">
        <v>0</v>
      </c>
      <c r="I181" s="377"/>
    </row>
    <row r="182" spans="1:9" ht="18.75" customHeight="1" thickBot="1" x14ac:dyDescent="0.3">
      <c r="A182" s="298" t="s">
        <v>257</v>
      </c>
      <c r="B182" s="378">
        <f>SUM(B179:B181)</f>
        <v>1582490</v>
      </c>
      <c r="C182" s="379">
        <f t="shared" ref="C182:D182" si="52">SUM(C179:C181)</f>
        <v>1697753</v>
      </c>
      <c r="D182" s="379">
        <f t="shared" si="52"/>
        <v>866640.82000000007</v>
      </c>
      <c r="E182" s="222">
        <f t="shared" si="37"/>
        <v>51.046343019273124</v>
      </c>
      <c r="F182" s="378">
        <f>SUM(F179:F181)</f>
        <v>1494174</v>
      </c>
      <c r="G182" s="379">
        <f t="shared" ref="G182:H182" si="53">SUM(G179:G181)</f>
        <v>1656867</v>
      </c>
      <c r="H182" s="379">
        <f t="shared" si="53"/>
        <v>872366.92999999993</v>
      </c>
      <c r="I182" s="299">
        <f t="shared" si="47"/>
        <v>52.651596658029874</v>
      </c>
    </row>
    <row r="183" spans="1:9" x14ac:dyDescent="0.25">
      <c r="A183" s="192"/>
      <c r="C183" s="301"/>
      <c r="D183" s="301"/>
      <c r="E183" s="301"/>
      <c r="F183" s="301"/>
      <c r="G183" s="301"/>
      <c r="H183" s="301"/>
    </row>
    <row r="184" spans="1:9" ht="65.25" customHeight="1" x14ac:dyDescent="0.25">
      <c r="C184" s="301"/>
      <c r="D184" s="302"/>
      <c r="E184" s="301"/>
      <c r="F184" s="301"/>
      <c r="G184" s="301"/>
      <c r="H184" s="380"/>
    </row>
    <row r="185" spans="1:9" ht="19.5" customHeight="1" x14ac:dyDescent="0.25">
      <c r="C185" s="301"/>
    </row>
    <row r="186" spans="1:9" ht="19.5" customHeight="1" x14ac:dyDescent="0.25"/>
    <row r="187" spans="1:9" ht="19.5" customHeight="1" x14ac:dyDescent="0.25"/>
    <row r="188" spans="1:9" ht="18" customHeight="1" x14ac:dyDescent="0.25"/>
    <row r="189" spans="1:9" ht="20.25" x14ac:dyDescent="0.25">
      <c r="A189" s="603" t="s">
        <v>201</v>
      </c>
      <c r="B189" s="603"/>
      <c r="C189" s="603"/>
      <c r="D189" s="603"/>
      <c r="E189" s="603"/>
      <c r="F189" s="603"/>
      <c r="G189" s="603"/>
      <c r="H189" s="603"/>
      <c r="I189" s="603"/>
    </row>
    <row r="190" spans="1:9" ht="20.25" x14ac:dyDescent="0.25">
      <c r="A190" s="603" t="s">
        <v>258</v>
      </c>
      <c r="B190" s="603"/>
      <c r="C190" s="603"/>
      <c r="D190" s="603"/>
      <c r="E190" s="603"/>
      <c r="F190" s="603"/>
      <c r="G190" s="603"/>
      <c r="H190" s="603"/>
      <c r="I190" s="603"/>
    </row>
    <row r="191" spans="1:9" ht="15.75" customHeight="1" x14ac:dyDescent="0.25">
      <c r="A191" s="304"/>
      <c r="B191" s="305"/>
      <c r="C191" s="305"/>
      <c r="D191" s="305"/>
      <c r="E191" s="305"/>
      <c r="F191" s="305"/>
      <c r="G191" s="305"/>
      <c r="H191" s="305"/>
      <c r="I191" s="337"/>
    </row>
    <row r="192" spans="1:9" ht="15.75" hidden="1" customHeight="1" x14ac:dyDescent="0.25">
      <c r="A192" s="304"/>
      <c r="B192" s="305"/>
      <c r="C192" s="305"/>
      <c r="D192" s="305"/>
      <c r="E192" s="305"/>
      <c r="F192" s="305"/>
      <c r="G192" s="305"/>
      <c r="H192" s="305"/>
      <c r="I192" s="337"/>
    </row>
    <row r="193" spans="1:9" ht="17.25" hidden="1" customHeight="1" x14ac:dyDescent="0.25">
      <c r="A193" s="304"/>
      <c r="B193" s="305"/>
      <c r="C193" s="305"/>
      <c r="D193" s="305"/>
      <c r="E193" s="305"/>
      <c r="F193" s="305"/>
      <c r="G193" s="305"/>
      <c r="H193" s="305"/>
      <c r="I193" s="337"/>
    </row>
    <row r="194" spans="1:9" ht="12.75" customHeight="1" x14ac:dyDescent="0.25">
      <c r="A194" s="306"/>
      <c r="B194" s="381"/>
      <c r="C194" s="381"/>
      <c r="D194" s="381"/>
      <c r="E194" s="337"/>
      <c r="F194" s="381"/>
      <c r="G194" s="381"/>
      <c r="H194" s="381"/>
      <c r="I194" s="337"/>
    </row>
    <row r="195" spans="1:9" x14ac:dyDescent="0.25">
      <c r="A195" s="382"/>
      <c r="B195" s="383"/>
      <c r="C195" s="384"/>
      <c r="D195" s="384"/>
      <c r="E195" s="385"/>
      <c r="F195" s="385"/>
      <c r="G195" s="384"/>
      <c r="H195" s="384"/>
      <c r="I195" s="385"/>
    </row>
    <row r="196" spans="1:9" ht="18" customHeight="1" x14ac:dyDescent="0.25">
      <c r="A196" s="382"/>
      <c r="B196" s="383"/>
      <c r="C196" s="384"/>
      <c r="D196" s="384"/>
      <c r="E196" s="385"/>
      <c r="F196" s="385"/>
      <c r="G196" s="384"/>
      <c r="H196" s="605" t="s">
        <v>266</v>
      </c>
      <c r="I196" s="605"/>
    </row>
    <row r="197" spans="1:9" ht="18" customHeight="1" thickBot="1" x14ac:dyDescent="0.3">
      <c r="A197" s="382"/>
      <c r="B197" s="383"/>
      <c r="C197" s="384"/>
      <c r="D197" s="384"/>
      <c r="E197" s="385"/>
      <c r="F197" s="385"/>
      <c r="G197" s="384"/>
      <c r="H197" s="340"/>
      <c r="I197" s="386" t="s">
        <v>204</v>
      </c>
    </row>
    <row r="198" spans="1:9" ht="20.100000000000001" customHeight="1" thickBot="1" x14ac:dyDescent="0.3">
      <c r="A198" s="598" t="s">
        <v>205</v>
      </c>
      <c r="B198" s="600" t="s">
        <v>120</v>
      </c>
      <c r="C198" s="601"/>
      <c r="D198" s="601"/>
      <c r="E198" s="602"/>
      <c r="F198" s="600" t="s">
        <v>122</v>
      </c>
      <c r="G198" s="601"/>
      <c r="H198" s="601"/>
      <c r="I198" s="602"/>
    </row>
    <row r="199" spans="1:9" ht="39" thickBot="1" x14ac:dyDescent="0.3">
      <c r="A199" s="599"/>
      <c r="B199" s="193" t="s">
        <v>2</v>
      </c>
      <c r="C199" s="194" t="s">
        <v>208</v>
      </c>
      <c r="D199" s="195" t="s">
        <v>209</v>
      </c>
      <c r="E199" s="196" t="s">
        <v>61</v>
      </c>
      <c r="F199" s="193" t="s">
        <v>2</v>
      </c>
      <c r="G199" s="194" t="s">
        <v>208</v>
      </c>
      <c r="H199" s="195" t="s">
        <v>209</v>
      </c>
      <c r="I199" s="196" t="s">
        <v>61</v>
      </c>
    </row>
    <row r="200" spans="1:9" ht="15.75" thickBot="1" x14ac:dyDescent="0.3">
      <c r="A200" s="197" t="s">
        <v>210</v>
      </c>
      <c r="B200" s="344">
        <f>SUM(B201:B205)</f>
        <v>147711</v>
      </c>
      <c r="C200" s="345">
        <f>SUM(C201:C205)</f>
        <v>147711</v>
      </c>
      <c r="D200" s="345">
        <f>SUM(D201:D205)</f>
        <v>103771.94</v>
      </c>
      <c r="E200" s="346">
        <f t="shared" ref="E200:E228" si="54">D200/C200*100</f>
        <v>70.253359600842188</v>
      </c>
      <c r="F200" s="198">
        <f>SUM(F201:F205)</f>
        <v>129000</v>
      </c>
      <c r="G200" s="199">
        <f>SUM(G201:G205)</f>
        <v>129600</v>
      </c>
      <c r="H200" s="199">
        <f>SUM(H201:H205)</f>
        <v>120483.5</v>
      </c>
      <c r="I200" s="200">
        <f t="shared" ref="I200:I228" si="55">H200/G200*100</f>
        <v>92.965663580246911</v>
      </c>
    </row>
    <row r="201" spans="1:9" x14ac:dyDescent="0.25">
      <c r="A201" s="201" t="s">
        <v>211</v>
      </c>
      <c r="B201" s="205">
        <v>81800</v>
      </c>
      <c r="C201" s="318">
        <v>81800</v>
      </c>
      <c r="D201" s="440">
        <v>54829</v>
      </c>
      <c r="E201" s="348">
        <f t="shared" si="54"/>
        <v>67.028117359413216</v>
      </c>
      <c r="F201" s="205">
        <v>64000</v>
      </c>
      <c r="G201" s="318">
        <v>64000</v>
      </c>
      <c r="H201" s="440">
        <v>61180.67</v>
      </c>
      <c r="I201" s="348">
        <f t="shared" si="55"/>
        <v>95.594796875</v>
      </c>
    </row>
    <row r="202" spans="1:9" x14ac:dyDescent="0.25">
      <c r="A202" s="208" t="s">
        <v>212</v>
      </c>
      <c r="B202" s="209">
        <v>42920</v>
      </c>
      <c r="C202" s="232">
        <v>42920</v>
      </c>
      <c r="D202" s="438">
        <v>27916</v>
      </c>
      <c r="E202" s="233">
        <f t="shared" si="54"/>
        <v>65.041938490214363</v>
      </c>
      <c r="F202" s="209">
        <v>45000</v>
      </c>
      <c r="G202" s="232">
        <v>45000</v>
      </c>
      <c r="H202" s="438">
        <v>31901.5</v>
      </c>
      <c r="I202" s="233">
        <f t="shared" si="55"/>
        <v>70.892222222222216</v>
      </c>
    </row>
    <row r="203" spans="1:9" x14ac:dyDescent="0.25">
      <c r="A203" s="213" t="s">
        <v>213</v>
      </c>
      <c r="B203" s="209">
        <v>8591</v>
      </c>
      <c r="C203" s="232">
        <v>8591</v>
      </c>
      <c r="D203" s="438">
        <v>9225.08</v>
      </c>
      <c r="E203" s="350">
        <f t="shared" si="54"/>
        <v>107.38074729367943</v>
      </c>
      <c r="F203" s="209">
        <v>6000</v>
      </c>
      <c r="G203" s="232">
        <v>6600</v>
      </c>
      <c r="H203" s="438">
        <v>12643.92</v>
      </c>
      <c r="I203" s="350">
        <f t="shared" si="55"/>
        <v>191.57454545454547</v>
      </c>
    </row>
    <row r="204" spans="1:9" x14ac:dyDescent="0.25">
      <c r="A204" s="208" t="s">
        <v>214</v>
      </c>
      <c r="B204" s="209">
        <v>14400</v>
      </c>
      <c r="C204" s="232">
        <v>14400</v>
      </c>
      <c r="D204" s="438">
        <v>11222.48</v>
      </c>
      <c r="E204" s="350">
        <f t="shared" si="54"/>
        <v>77.933888888888873</v>
      </c>
      <c r="F204" s="209">
        <v>10000</v>
      </c>
      <c r="G204" s="232">
        <v>10000</v>
      </c>
      <c r="H204" s="438">
        <v>12121.17</v>
      </c>
      <c r="I204" s="350">
        <f t="shared" si="55"/>
        <v>121.21170000000001</v>
      </c>
    </row>
    <row r="205" spans="1:9" ht="15.75" thickBot="1" x14ac:dyDescent="0.3">
      <c r="A205" s="387" t="s">
        <v>215</v>
      </c>
      <c r="B205" s="217">
        <v>0</v>
      </c>
      <c r="C205" s="240">
        <v>0</v>
      </c>
      <c r="D205" s="441">
        <f>64.38+14.45+0.55+500</f>
        <v>579.38</v>
      </c>
      <c r="E205" s="358"/>
      <c r="F205" s="388">
        <v>4000</v>
      </c>
      <c r="G205" s="389">
        <v>4000</v>
      </c>
      <c r="H205" s="441">
        <v>2636.24</v>
      </c>
      <c r="I205" s="358">
        <f t="shared" si="55"/>
        <v>65.905999999999992</v>
      </c>
    </row>
    <row r="206" spans="1:9" ht="18.75" customHeight="1" thickBot="1" x14ac:dyDescent="0.3">
      <c r="A206" s="298" t="s">
        <v>216</v>
      </c>
      <c r="B206" s="390">
        <f>B207+B230+B231</f>
        <v>1077458</v>
      </c>
      <c r="C206" s="391">
        <f t="shared" ref="C206:D206" si="56">C207+C230+C231</f>
        <v>1356683</v>
      </c>
      <c r="D206" s="391">
        <f t="shared" si="56"/>
        <v>703089.0199999999</v>
      </c>
      <c r="E206" s="392">
        <f t="shared" si="54"/>
        <v>51.824119562196913</v>
      </c>
      <c r="F206" s="220">
        <f>F207+F230+F231</f>
        <v>1556643</v>
      </c>
      <c r="G206" s="354">
        <f t="shared" ref="G206:H206" si="57">G207+G230+G231</f>
        <v>1726822</v>
      </c>
      <c r="H206" s="354">
        <f t="shared" si="57"/>
        <v>834383.77999999991</v>
      </c>
      <c r="I206" s="316">
        <f t="shared" si="55"/>
        <v>48.319038094256378</v>
      </c>
    </row>
    <row r="207" spans="1:9" ht="15.75" thickBot="1" x14ac:dyDescent="0.3">
      <c r="A207" s="272" t="s">
        <v>217</v>
      </c>
      <c r="B207" s="224">
        <f>B212+B228+B229</f>
        <v>1077458</v>
      </c>
      <c r="C207" s="225">
        <f t="shared" ref="C207:D207" si="58">C212+C228+C229</f>
        <v>1356683</v>
      </c>
      <c r="D207" s="442">
        <f t="shared" si="58"/>
        <v>703089.0199999999</v>
      </c>
      <c r="E207" s="355">
        <f t="shared" si="54"/>
        <v>51.824119562196913</v>
      </c>
      <c r="F207" s="224">
        <f>F212+F228+F229</f>
        <v>1556643</v>
      </c>
      <c r="G207" s="225">
        <f t="shared" ref="G207:H207" si="59">G212+G228+G229</f>
        <v>1725222</v>
      </c>
      <c r="H207" s="442">
        <f t="shared" si="59"/>
        <v>833563.77999999991</v>
      </c>
      <c r="I207" s="355">
        <f t="shared" si="55"/>
        <v>48.316319870718083</v>
      </c>
    </row>
    <row r="208" spans="1:9" x14ac:dyDescent="0.25">
      <c r="A208" s="317" t="s">
        <v>218</v>
      </c>
      <c r="B208" s="205">
        <v>918519</v>
      </c>
      <c r="C208" s="318">
        <v>1117413</v>
      </c>
      <c r="D208" s="440">
        <v>446600.4</v>
      </c>
      <c r="E208" s="348">
        <f t="shared" si="54"/>
        <v>39.967353163065042</v>
      </c>
      <c r="F208" s="205">
        <f>1287093-10948</f>
        <v>1276145</v>
      </c>
      <c r="G208" s="318">
        <f>1450180-10948</f>
        <v>1439232</v>
      </c>
      <c r="H208" s="440">
        <v>621703.15</v>
      </c>
      <c r="I208" s="357">
        <f t="shared" si="55"/>
        <v>43.196868190812879</v>
      </c>
    </row>
    <row r="209" spans="1:9" x14ac:dyDescent="0.25">
      <c r="A209" s="319" t="s">
        <v>219</v>
      </c>
      <c r="B209" s="209">
        <v>158939</v>
      </c>
      <c r="C209" s="232">
        <v>128144</v>
      </c>
      <c r="D209" s="438">
        <v>58144.33</v>
      </c>
      <c r="E209" s="233">
        <f t="shared" si="54"/>
        <v>45.374211824197779</v>
      </c>
      <c r="F209" s="209">
        <v>269550</v>
      </c>
      <c r="G209" s="232">
        <v>198619</v>
      </c>
      <c r="H209" s="438">
        <v>27144.45</v>
      </c>
      <c r="I209" s="350">
        <f t="shared" si="55"/>
        <v>13.666592823445894</v>
      </c>
    </row>
    <row r="210" spans="1:9" x14ac:dyDescent="0.25">
      <c r="A210" s="320" t="s">
        <v>265</v>
      </c>
      <c r="B210" s="234">
        <v>0</v>
      </c>
      <c r="C210" s="235">
        <v>0</v>
      </c>
      <c r="D210" s="438">
        <f>83717.73+15227.26</f>
        <v>98944.989999999991</v>
      </c>
      <c r="E210" s="233"/>
      <c r="F210" s="234">
        <v>0</v>
      </c>
      <c r="G210" s="235">
        <v>0</v>
      </c>
      <c r="H210" s="438">
        <f>129995.61+1592</f>
        <v>131587.60999999999</v>
      </c>
      <c r="I210" s="233"/>
    </row>
    <row r="211" spans="1:9" ht="17.25" customHeight="1" thickBot="1" x14ac:dyDescent="0.3">
      <c r="A211" s="321" t="s">
        <v>262</v>
      </c>
      <c r="B211" s="217">
        <v>0</v>
      </c>
      <c r="C211" s="240">
        <v>0</v>
      </c>
      <c r="D211" s="441">
        <v>0</v>
      </c>
      <c r="E211" s="352"/>
      <c r="F211" s="217">
        <v>0</v>
      </c>
      <c r="G211" s="240">
        <v>1740</v>
      </c>
      <c r="H211" s="441">
        <v>1740</v>
      </c>
      <c r="I211" s="352">
        <f t="shared" si="55"/>
        <v>100</v>
      </c>
    </row>
    <row r="212" spans="1:9" ht="26.25" thickBot="1" x14ac:dyDescent="0.3">
      <c r="A212" s="393" t="s">
        <v>222</v>
      </c>
      <c r="B212" s="224">
        <f>SUM(B208:B211)</f>
        <v>1077458</v>
      </c>
      <c r="C212" s="225">
        <f t="shared" ref="C212:D212" si="60">SUM(C208:C211)</f>
        <v>1245557</v>
      </c>
      <c r="D212" s="442">
        <f t="shared" si="60"/>
        <v>603689.72</v>
      </c>
      <c r="E212" s="226">
        <f t="shared" si="54"/>
        <v>48.467450305365389</v>
      </c>
      <c r="F212" s="224">
        <f>SUM(F208:F211)</f>
        <v>1545695</v>
      </c>
      <c r="G212" s="225">
        <f t="shared" ref="G212:H212" si="61">SUM(G208:G211)</f>
        <v>1639591</v>
      </c>
      <c r="H212" s="442">
        <f t="shared" si="61"/>
        <v>782175.21</v>
      </c>
      <c r="I212" s="226">
        <f t="shared" si="55"/>
        <v>47.705507654042989</v>
      </c>
    </row>
    <row r="213" spans="1:9" x14ac:dyDescent="0.25">
      <c r="A213" s="394" t="s">
        <v>223</v>
      </c>
      <c r="B213" s="395">
        <v>0</v>
      </c>
      <c r="C213" s="323">
        <v>16416</v>
      </c>
      <c r="D213" s="437">
        <v>4852</v>
      </c>
      <c r="E213" s="204">
        <f t="shared" si="54"/>
        <v>29.556530214424953</v>
      </c>
      <c r="F213" s="245">
        <v>0</v>
      </c>
      <c r="G213" s="246">
        <v>19808</v>
      </c>
      <c r="H213" s="440">
        <v>4354.25</v>
      </c>
      <c r="I213" s="348">
        <f t="shared" si="55"/>
        <v>21.982279886914377</v>
      </c>
    </row>
    <row r="214" spans="1:9" x14ac:dyDescent="0.25">
      <c r="A214" s="396" t="s">
        <v>224</v>
      </c>
      <c r="B214" s="397">
        <v>0</v>
      </c>
      <c r="C214" s="235">
        <v>1667</v>
      </c>
      <c r="D214" s="438">
        <v>1667</v>
      </c>
      <c r="E214" s="204">
        <f t="shared" si="54"/>
        <v>100</v>
      </c>
      <c r="F214" s="234">
        <v>10948</v>
      </c>
      <c r="G214" s="235">
        <v>10948</v>
      </c>
      <c r="H214" s="438">
        <v>0</v>
      </c>
      <c r="I214" s="230"/>
    </row>
    <row r="215" spans="1:9" x14ac:dyDescent="0.25">
      <c r="A215" s="396" t="s">
        <v>225</v>
      </c>
      <c r="B215" s="397">
        <v>0</v>
      </c>
      <c r="C215" s="235">
        <v>13699</v>
      </c>
      <c r="D215" s="438">
        <v>9562</v>
      </c>
      <c r="E215" s="211">
        <f t="shared" si="54"/>
        <v>69.800715380684721</v>
      </c>
      <c r="F215" s="234">
        <v>0</v>
      </c>
      <c r="G215" s="235">
        <v>0</v>
      </c>
      <c r="H215" s="438">
        <v>0</v>
      </c>
      <c r="I215" s="230"/>
    </row>
    <row r="216" spans="1:9" x14ac:dyDescent="0.25">
      <c r="A216" s="251" t="s">
        <v>226</v>
      </c>
      <c r="B216" s="397">
        <v>0</v>
      </c>
      <c r="C216" s="235">
        <v>5250</v>
      </c>
      <c r="D216" s="438">
        <v>5250</v>
      </c>
      <c r="E216" s="211">
        <f t="shared" si="54"/>
        <v>100</v>
      </c>
      <c r="F216" s="234">
        <v>0</v>
      </c>
      <c r="G216" s="235">
        <v>10200</v>
      </c>
      <c r="H216" s="438">
        <v>9000</v>
      </c>
      <c r="I216" s="233">
        <f t="shared" si="55"/>
        <v>88.235294117647058</v>
      </c>
    </row>
    <row r="217" spans="1:9" x14ac:dyDescent="0.25">
      <c r="A217" s="396" t="s">
        <v>227</v>
      </c>
      <c r="B217" s="397">
        <v>0</v>
      </c>
      <c r="C217" s="235">
        <v>0</v>
      </c>
      <c r="D217" s="438">
        <v>0</v>
      </c>
      <c r="E217" s="211"/>
      <c r="F217" s="234">
        <v>0</v>
      </c>
      <c r="G217" s="235">
        <v>0</v>
      </c>
      <c r="H217" s="438">
        <v>0</v>
      </c>
      <c r="I217" s="233"/>
    </row>
    <row r="218" spans="1:9" x14ac:dyDescent="0.25">
      <c r="A218" s="251" t="s">
        <v>228</v>
      </c>
      <c r="B218" s="397">
        <v>0</v>
      </c>
      <c r="C218" s="235">
        <v>13077</v>
      </c>
      <c r="D218" s="438">
        <v>0</v>
      </c>
      <c r="E218" s="211">
        <f t="shared" si="54"/>
        <v>0</v>
      </c>
      <c r="F218" s="234">
        <v>0</v>
      </c>
      <c r="G218" s="235">
        <v>17185</v>
      </c>
      <c r="H218" s="438">
        <v>14803.7</v>
      </c>
      <c r="I218" s="230">
        <f t="shared" ref="I218:I219" si="62">H218/G218*100</f>
        <v>86.14314809426827</v>
      </c>
    </row>
    <row r="219" spans="1:9" x14ac:dyDescent="0.25">
      <c r="A219" s="251" t="s">
        <v>229</v>
      </c>
      <c r="B219" s="397">
        <v>0</v>
      </c>
      <c r="C219" s="235">
        <v>4500</v>
      </c>
      <c r="D219" s="438">
        <v>4500</v>
      </c>
      <c r="E219" s="211">
        <f t="shared" si="54"/>
        <v>100</v>
      </c>
      <c r="F219" s="234">
        <v>0</v>
      </c>
      <c r="G219" s="235">
        <v>10500</v>
      </c>
      <c r="H219" s="438">
        <v>10400</v>
      </c>
      <c r="I219" s="230">
        <f t="shared" si="62"/>
        <v>99.047619047619051</v>
      </c>
    </row>
    <row r="220" spans="1:9" x14ac:dyDescent="0.25">
      <c r="A220" s="396" t="s">
        <v>230</v>
      </c>
      <c r="B220" s="397">
        <v>0</v>
      </c>
      <c r="C220" s="235">
        <v>0</v>
      </c>
      <c r="D220" s="438">
        <v>0</v>
      </c>
      <c r="E220" s="211"/>
      <c r="F220" s="234">
        <v>0</v>
      </c>
      <c r="G220" s="235">
        <v>0</v>
      </c>
      <c r="H220" s="438">
        <v>0</v>
      </c>
      <c r="I220" s="233"/>
    </row>
    <row r="221" spans="1:9" x14ac:dyDescent="0.25">
      <c r="A221" s="396" t="s">
        <v>231</v>
      </c>
      <c r="B221" s="397">
        <v>0</v>
      </c>
      <c r="C221" s="235">
        <v>0</v>
      </c>
      <c r="D221" s="438">
        <v>0</v>
      </c>
      <c r="E221" s="211"/>
      <c r="F221" s="234">
        <v>0</v>
      </c>
      <c r="G221" s="235">
        <v>0</v>
      </c>
      <c r="H221" s="438">
        <v>0</v>
      </c>
      <c r="I221" s="233"/>
    </row>
    <row r="222" spans="1:9" x14ac:dyDescent="0.25">
      <c r="A222" s="251" t="s">
        <v>232</v>
      </c>
      <c r="B222" s="398">
        <v>0</v>
      </c>
      <c r="C222" s="238">
        <v>0</v>
      </c>
      <c r="D222" s="439">
        <v>0</v>
      </c>
      <c r="E222" s="211"/>
      <c r="F222" s="237">
        <v>0</v>
      </c>
      <c r="G222" s="238">
        <v>0</v>
      </c>
      <c r="H222" s="439">
        <v>0</v>
      </c>
      <c r="I222" s="230"/>
    </row>
    <row r="223" spans="1:9" x14ac:dyDescent="0.25">
      <c r="A223" s="251" t="s">
        <v>233</v>
      </c>
      <c r="B223" s="398">
        <v>0</v>
      </c>
      <c r="C223" s="238">
        <v>0</v>
      </c>
      <c r="D223" s="439">
        <v>0</v>
      </c>
      <c r="E223" s="211"/>
      <c r="F223" s="237">
        <v>0</v>
      </c>
      <c r="G223" s="238">
        <v>0</v>
      </c>
      <c r="H223" s="439">
        <v>0</v>
      </c>
      <c r="I223" s="230"/>
    </row>
    <row r="224" spans="1:9" x14ac:dyDescent="0.25">
      <c r="A224" s="251" t="s">
        <v>234</v>
      </c>
      <c r="B224" s="398">
        <v>0</v>
      </c>
      <c r="C224" s="238">
        <v>0</v>
      </c>
      <c r="D224" s="439">
        <v>0</v>
      </c>
      <c r="E224" s="216"/>
      <c r="F224" s="237">
        <v>0</v>
      </c>
      <c r="G224" s="238">
        <v>0</v>
      </c>
      <c r="H224" s="439">
        <v>0</v>
      </c>
      <c r="I224" s="239"/>
    </row>
    <row r="225" spans="1:9" x14ac:dyDescent="0.25">
      <c r="A225" s="399" t="s">
        <v>235</v>
      </c>
      <c r="B225" s="397">
        <v>0</v>
      </c>
      <c r="C225" s="235">
        <v>56517</v>
      </c>
      <c r="D225" s="438">
        <v>547.20000000000005</v>
      </c>
      <c r="E225" s="211">
        <f t="shared" si="54"/>
        <v>0.96820425712617442</v>
      </c>
      <c r="F225" s="234">
        <v>0</v>
      </c>
      <c r="G225" s="235">
        <v>16990</v>
      </c>
      <c r="H225" s="438">
        <v>0</v>
      </c>
      <c r="I225" s="233"/>
    </row>
    <row r="226" spans="1:9" x14ac:dyDescent="0.25">
      <c r="A226" s="399" t="s">
        <v>236</v>
      </c>
      <c r="B226" s="397">
        <v>0</v>
      </c>
      <c r="C226" s="235">
        <v>0</v>
      </c>
      <c r="D226" s="438">
        <v>0</v>
      </c>
      <c r="E226" s="211"/>
      <c r="F226" s="234">
        <v>0</v>
      </c>
      <c r="G226" s="235">
        <v>0</v>
      </c>
      <c r="H226" s="438">
        <v>0</v>
      </c>
      <c r="I226" s="233"/>
    </row>
    <row r="227" spans="1:9" ht="15.75" thickBot="1" x14ac:dyDescent="0.3">
      <c r="A227" s="400" t="s">
        <v>237</v>
      </c>
      <c r="B227" s="398">
        <v>0</v>
      </c>
      <c r="C227" s="238">
        <v>0</v>
      </c>
      <c r="D227" s="439">
        <v>0</v>
      </c>
      <c r="E227" s="216"/>
      <c r="F227" s="217">
        <v>0</v>
      </c>
      <c r="G227" s="240">
        <v>0</v>
      </c>
      <c r="H227" s="441">
        <v>0</v>
      </c>
      <c r="I227" s="352"/>
    </row>
    <row r="228" spans="1:9" ht="15.75" thickBot="1" x14ac:dyDescent="0.3">
      <c r="A228" s="260" t="s">
        <v>238</v>
      </c>
      <c r="B228" s="261">
        <f>SUM(B213:B227)</f>
        <v>0</v>
      </c>
      <c r="C228" s="262">
        <f>SUM(C213:C227)</f>
        <v>111126</v>
      </c>
      <c r="D228" s="445">
        <f>SUM(D213:D227)</f>
        <v>26378.2</v>
      </c>
      <c r="E228" s="266">
        <f t="shared" si="54"/>
        <v>23.73719921530515</v>
      </c>
      <c r="F228" s="261">
        <f>SUM(F213:F227)</f>
        <v>10948</v>
      </c>
      <c r="G228" s="262">
        <f>SUM(G213:G227)</f>
        <v>85631</v>
      </c>
      <c r="H228" s="445">
        <f>SUM(H213:H227)</f>
        <v>38557.949999999997</v>
      </c>
      <c r="I228" s="266">
        <f t="shared" si="55"/>
        <v>45.028027233128185</v>
      </c>
    </row>
    <row r="229" spans="1:9" ht="15.75" thickBot="1" x14ac:dyDescent="0.3">
      <c r="A229" s="278" t="s">
        <v>239</v>
      </c>
      <c r="B229" s="261">
        <v>0</v>
      </c>
      <c r="C229" s="262">
        <v>0</v>
      </c>
      <c r="D229" s="445">
        <f>40260.67+500+32260.43</f>
        <v>73021.100000000006</v>
      </c>
      <c r="E229" s="266"/>
      <c r="F229" s="261">
        <v>0</v>
      </c>
      <c r="G229" s="262">
        <v>0</v>
      </c>
      <c r="H229" s="445">
        <f>1885.84+10944.78</f>
        <v>12830.62</v>
      </c>
      <c r="I229" s="266"/>
    </row>
    <row r="230" spans="1:9" ht="15.75" thickBot="1" x14ac:dyDescent="0.3">
      <c r="A230" s="260" t="s">
        <v>240</v>
      </c>
      <c r="B230" s="261">
        <v>0</v>
      </c>
      <c r="C230" s="262">
        <v>0</v>
      </c>
      <c r="D230" s="445">
        <v>0</v>
      </c>
      <c r="E230" s="266"/>
      <c r="F230" s="261">
        <v>0</v>
      </c>
      <c r="G230" s="262">
        <v>1600</v>
      </c>
      <c r="H230" s="445">
        <v>820</v>
      </c>
      <c r="I230" s="266">
        <f t="shared" ref="I230" si="63">H230/G230*100</f>
        <v>51.249999999999993</v>
      </c>
    </row>
    <row r="231" spans="1:9" ht="15.75" thickBot="1" x14ac:dyDescent="0.3">
      <c r="A231" s="260" t="s">
        <v>241</v>
      </c>
      <c r="B231" s="261">
        <v>0</v>
      </c>
      <c r="C231" s="262">
        <v>0</v>
      </c>
      <c r="D231" s="445">
        <v>0</v>
      </c>
      <c r="E231" s="266"/>
      <c r="F231" s="261">
        <v>0</v>
      </c>
      <c r="G231" s="262">
        <v>0</v>
      </c>
      <c r="H231" s="445">
        <v>0</v>
      </c>
      <c r="I231" s="266"/>
    </row>
    <row r="232" spans="1:9" ht="26.25" thickBot="1" x14ac:dyDescent="0.3">
      <c r="A232" s="326" t="s">
        <v>242</v>
      </c>
      <c r="B232" s="308">
        <f>B236+B243</f>
        <v>427070</v>
      </c>
      <c r="C232" s="309">
        <f t="shared" ref="C232:D232" si="64">C236+C243</f>
        <v>431570</v>
      </c>
      <c r="D232" s="309">
        <f t="shared" si="64"/>
        <v>228695.63999999996</v>
      </c>
      <c r="E232" s="327">
        <f t="shared" ref="E232" si="65">E233+E234+E237+E238</f>
        <v>103.19251618041628</v>
      </c>
      <c r="F232" s="308">
        <f>F236+F243</f>
        <v>564711</v>
      </c>
      <c r="G232" s="309">
        <f t="shared" ref="G232:H232" si="66">G236+G243</f>
        <v>575798</v>
      </c>
      <c r="H232" s="309">
        <f t="shared" si="66"/>
        <v>277341.83999999997</v>
      </c>
      <c r="I232" s="299">
        <f t="shared" ref="I232:I247" si="67">H232/G232*100</f>
        <v>48.166516729825389</v>
      </c>
    </row>
    <row r="233" spans="1:9" x14ac:dyDescent="0.25">
      <c r="A233" s="328" t="s">
        <v>243</v>
      </c>
      <c r="B233" s="205">
        <v>240000</v>
      </c>
      <c r="C233" s="318">
        <v>244500</v>
      </c>
      <c r="D233" s="456">
        <v>88304.39</v>
      </c>
      <c r="E233" s="401">
        <f>D233/C233*100</f>
        <v>36.116314928425361</v>
      </c>
      <c r="F233" s="202">
        <v>344000</v>
      </c>
      <c r="G233" s="229">
        <v>355087</v>
      </c>
      <c r="H233" s="459">
        <f>105300.14+744.1</f>
        <v>106044.24</v>
      </c>
      <c r="I233" s="230">
        <f t="shared" si="67"/>
        <v>29.86429804526778</v>
      </c>
    </row>
    <row r="234" spans="1:9" x14ac:dyDescent="0.25">
      <c r="A234" s="329" t="s">
        <v>244</v>
      </c>
      <c r="B234" s="209">
        <v>8361</v>
      </c>
      <c r="C234" s="232">
        <v>8361</v>
      </c>
      <c r="D234" s="438">
        <v>744.78</v>
      </c>
      <c r="E234" s="233">
        <f>D234/C234*100</f>
        <v>8.9077861499820603</v>
      </c>
      <c r="F234" s="209">
        <v>22072</v>
      </c>
      <c r="G234" s="232">
        <v>22072</v>
      </c>
      <c r="H234" s="438">
        <v>5875.79</v>
      </c>
      <c r="I234" s="233">
        <f t="shared" si="67"/>
        <v>26.621013048205871</v>
      </c>
    </row>
    <row r="235" spans="1:9" ht="15.75" thickBot="1" x14ac:dyDescent="0.3">
      <c r="A235" s="369" t="s">
        <v>245</v>
      </c>
      <c r="B235" s="217">
        <v>0</v>
      </c>
      <c r="C235" s="240">
        <v>0</v>
      </c>
      <c r="D235" s="441">
        <v>0</v>
      </c>
      <c r="E235" s="352"/>
      <c r="F235" s="217">
        <v>0</v>
      </c>
      <c r="G235" s="240">
        <v>0</v>
      </c>
      <c r="H235" s="441">
        <v>0</v>
      </c>
      <c r="I235" s="352"/>
    </row>
    <row r="236" spans="1:9" ht="15.75" thickBot="1" x14ac:dyDescent="0.3">
      <c r="A236" s="272" t="s">
        <v>246</v>
      </c>
      <c r="B236" s="261">
        <f>SUM(B233:B235)</f>
        <v>248361</v>
      </c>
      <c r="C236" s="262">
        <f t="shared" ref="C236:D236" si="68">SUM(C233:C235)</f>
        <v>252861</v>
      </c>
      <c r="D236" s="445">
        <f t="shared" si="68"/>
        <v>89049.17</v>
      </c>
      <c r="E236" s="266">
        <f t="shared" ref="E236:E239" si="69">D236/C236*100</f>
        <v>35.216648672590864</v>
      </c>
      <c r="F236" s="261">
        <f>SUM(F233:F235)</f>
        <v>366072</v>
      </c>
      <c r="G236" s="262">
        <f t="shared" ref="G236:H236" si="70">SUM(G233:G235)</f>
        <v>377159</v>
      </c>
      <c r="H236" s="445">
        <f t="shared" si="70"/>
        <v>111920.03</v>
      </c>
      <c r="I236" s="266">
        <v>2.6678793390935271</v>
      </c>
    </row>
    <row r="237" spans="1:9" x14ac:dyDescent="0.25">
      <c r="A237" s="370" t="s">
        <v>247</v>
      </c>
      <c r="B237" s="205">
        <v>126000</v>
      </c>
      <c r="C237" s="318">
        <v>126000</v>
      </c>
      <c r="D237" s="440">
        <v>44407.98</v>
      </c>
      <c r="E237" s="348">
        <f t="shared" si="69"/>
        <v>35.244428571428578</v>
      </c>
      <c r="F237" s="205">
        <v>150000</v>
      </c>
      <c r="G237" s="318">
        <v>150000</v>
      </c>
      <c r="H237" s="440">
        <v>52470.39</v>
      </c>
      <c r="I237" s="348">
        <f t="shared" si="67"/>
        <v>34.980260000000001</v>
      </c>
    </row>
    <row r="238" spans="1:9" x14ac:dyDescent="0.25">
      <c r="A238" s="329" t="s">
        <v>248</v>
      </c>
      <c r="B238" s="209">
        <v>38309</v>
      </c>
      <c r="C238" s="232">
        <v>38309</v>
      </c>
      <c r="D238" s="457">
        <v>8781.9500000000007</v>
      </c>
      <c r="E238" s="233">
        <f t="shared" si="69"/>
        <v>22.923986530580283</v>
      </c>
      <c r="F238" s="209">
        <v>38639</v>
      </c>
      <c r="G238" s="232">
        <v>38639</v>
      </c>
      <c r="H238" s="438">
        <v>7690.48</v>
      </c>
      <c r="I238" s="233">
        <f t="shared" si="67"/>
        <v>19.903413649421566</v>
      </c>
    </row>
    <row r="239" spans="1:9" x14ac:dyDescent="0.25">
      <c r="A239" s="373" t="s">
        <v>249</v>
      </c>
      <c r="B239" s="214">
        <v>14400</v>
      </c>
      <c r="C239" s="215">
        <v>14400</v>
      </c>
      <c r="D239" s="458">
        <v>18299.04</v>
      </c>
      <c r="E239" s="402">
        <f t="shared" si="69"/>
        <v>127.07666666666668</v>
      </c>
      <c r="F239" s="237">
        <v>10000</v>
      </c>
      <c r="G239" s="238">
        <v>10000</v>
      </c>
      <c r="H239" s="459">
        <v>21967.040000000001</v>
      </c>
      <c r="I239" s="402">
        <f t="shared" si="67"/>
        <v>219.6704</v>
      </c>
    </row>
    <row r="240" spans="1:9" x14ac:dyDescent="0.25">
      <c r="A240" s="374" t="s">
        <v>250</v>
      </c>
      <c r="B240" s="234">
        <v>0</v>
      </c>
      <c r="C240" s="235">
        <v>0</v>
      </c>
      <c r="D240" s="438">
        <v>66849.2</v>
      </c>
      <c r="E240" s="233"/>
      <c r="F240" s="234">
        <v>0</v>
      </c>
      <c r="G240" s="235">
        <v>0</v>
      </c>
      <c r="H240" s="438">
        <v>83293.899999999994</v>
      </c>
      <c r="I240" s="233"/>
    </row>
    <row r="241" spans="1:9" x14ac:dyDescent="0.25">
      <c r="A241" s="374" t="s">
        <v>251</v>
      </c>
      <c r="B241" s="234">
        <v>0</v>
      </c>
      <c r="C241" s="235">
        <v>0</v>
      </c>
      <c r="D241" s="438">
        <v>1308.3</v>
      </c>
      <c r="E241" s="233"/>
      <c r="F241" s="234">
        <v>0</v>
      </c>
      <c r="G241" s="235">
        <v>0</v>
      </c>
      <c r="H241" s="438">
        <v>0</v>
      </c>
      <c r="I241" s="233"/>
    </row>
    <row r="242" spans="1:9" ht="15.75" thickBot="1" x14ac:dyDescent="0.3">
      <c r="A242" s="369" t="s">
        <v>252</v>
      </c>
      <c r="B242" s="237">
        <v>0</v>
      </c>
      <c r="C242" s="238">
        <v>0</v>
      </c>
      <c r="D242" s="439">
        <v>0</v>
      </c>
      <c r="E242" s="239"/>
      <c r="F242" s="217">
        <v>0</v>
      </c>
      <c r="G242" s="240">
        <v>0</v>
      </c>
      <c r="H242" s="441">
        <v>0</v>
      </c>
      <c r="I242" s="352"/>
    </row>
    <row r="243" spans="1:9" ht="15.75" thickBot="1" x14ac:dyDescent="0.3">
      <c r="A243" s="278" t="s">
        <v>253</v>
      </c>
      <c r="B243" s="333">
        <f>SUM(B237:B242)</f>
        <v>178709</v>
      </c>
      <c r="C243" s="334">
        <f t="shared" ref="C243:D243" si="71">SUM(C237:C242)</f>
        <v>178709</v>
      </c>
      <c r="D243" s="452">
        <f t="shared" si="71"/>
        <v>139646.46999999997</v>
      </c>
      <c r="E243" s="266">
        <f t="shared" ref="E243:E244" si="72">D243/C243*100</f>
        <v>78.141822739761267</v>
      </c>
      <c r="F243" s="333">
        <f>SUM(F237:F242)</f>
        <v>198639</v>
      </c>
      <c r="G243" s="334">
        <f t="shared" ref="G243:H243" si="73">SUM(G237:G242)</f>
        <v>198639</v>
      </c>
      <c r="H243" s="452">
        <f t="shared" si="73"/>
        <v>165421.81</v>
      </c>
      <c r="I243" s="403">
        <f t="shared" ref="I243:I244" si="74">H243/G243*100</f>
        <v>83.277609130130543</v>
      </c>
    </row>
    <row r="244" spans="1:9" ht="20.25" customHeight="1" thickBot="1" x14ac:dyDescent="0.3">
      <c r="A244" s="298" t="s">
        <v>254</v>
      </c>
      <c r="B244" s="281">
        <f>B206+B232</f>
        <v>1504528</v>
      </c>
      <c r="C244" s="282">
        <f>C206+C232</f>
        <v>1788253</v>
      </c>
      <c r="D244" s="282">
        <f>D206+D232</f>
        <v>931784.65999999992</v>
      </c>
      <c r="E244" s="283">
        <f t="shared" si="72"/>
        <v>52.105863096552888</v>
      </c>
      <c r="F244" s="281">
        <f>F206+F232</f>
        <v>2121354</v>
      </c>
      <c r="G244" s="282">
        <f>G206+G232</f>
        <v>2302620</v>
      </c>
      <c r="H244" s="282">
        <f>H206+H232</f>
        <v>1111725.6199999999</v>
      </c>
      <c r="I244" s="283">
        <f t="shared" si="74"/>
        <v>48.28089828108849</v>
      </c>
    </row>
    <row r="245" spans="1:9" x14ac:dyDescent="0.25">
      <c r="A245" s="284" t="s">
        <v>255</v>
      </c>
      <c r="B245" s="243">
        <v>0</v>
      </c>
      <c r="C245" s="404">
        <v>0</v>
      </c>
      <c r="D245" s="460">
        <v>0</v>
      </c>
      <c r="E245" s="230"/>
      <c r="F245" s="245">
        <v>0</v>
      </c>
      <c r="G245" s="335">
        <v>0</v>
      </c>
      <c r="H245" s="453">
        <v>0</v>
      </c>
      <c r="I245" s="371"/>
    </row>
    <row r="246" spans="1:9" ht="15.75" thickBot="1" x14ac:dyDescent="0.3">
      <c r="A246" s="291" t="s">
        <v>256</v>
      </c>
      <c r="B246" s="237">
        <v>0</v>
      </c>
      <c r="C246" s="405">
        <v>0</v>
      </c>
      <c r="D246" s="461">
        <v>0</v>
      </c>
      <c r="E246" s="239"/>
      <c r="F246" s="217">
        <v>0</v>
      </c>
      <c r="G246" s="336">
        <v>0</v>
      </c>
      <c r="H246" s="454">
        <v>0</v>
      </c>
      <c r="I246" s="375"/>
    </row>
    <row r="247" spans="1:9" ht="20.25" customHeight="1" thickBot="1" x14ac:dyDescent="0.3">
      <c r="A247" s="298" t="s">
        <v>257</v>
      </c>
      <c r="B247" s="281">
        <f>SUM(B244:B245)</f>
        <v>1504528</v>
      </c>
      <c r="C247" s="282">
        <f>SUM(C244:C246)</f>
        <v>1788253</v>
      </c>
      <c r="D247" s="282">
        <f t="shared" ref="D247" si="75">SUM(D244:D245)</f>
        <v>931784.65999999992</v>
      </c>
      <c r="E247" s="299">
        <f>D247/C247*100</f>
        <v>52.105863096552888</v>
      </c>
      <c r="F247" s="281">
        <f>SUM(F244:F246)</f>
        <v>2121354</v>
      </c>
      <c r="G247" s="282">
        <f t="shared" ref="G247:H247" si="76">SUM(G244:G246)</f>
        <v>2302620</v>
      </c>
      <c r="H247" s="282">
        <f t="shared" si="76"/>
        <v>1111725.6199999999</v>
      </c>
      <c r="I247" s="299">
        <f t="shared" si="67"/>
        <v>48.28089828108849</v>
      </c>
    </row>
    <row r="248" spans="1:9" ht="40.5" customHeight="1" x14ac:dyDescent="0.25">
      <c r="A248" s="192"/>
      <c r="C248" s="301"/>
      <c r="G248" s="301"/>
      <c r="H248" s="302"/>
    </row>
    <row r="249" spans="1:9" ht="24.75" customHeight="1" x14ac:dyDescent="0.25">
      <c r="D249" s="302"/>
      <c r="H249" s="302"/>
    </row>
    <row r="250" spans="1:9" ht="24.75" customHeight="1" x14ac:dyDescent="0.25">
      <c r="D250" s="302"/>
      <c r="H250" s="302"/>
    </row>
    <row r="251" spans="1:9" ht="15.75" customHeight="1" x14ac:dyDescent="0.25"/>
    <row r="252" spans="1:9" ht="15.75" customHeight="1" x14ac:dyDescent="0.25"/>
    <row r="253" spans="1:9" ht="20.25" x14ac:dyDescent="0.25">
      <c r="A253" s="603" t="s">
        <v>201</v>
      </c>
      <c r="B253" s="603"/>
      <c r="C253" s="603"/>
      <c r="D253" s="603"/>
      <c r="E253" s="603"/>
      <c r="F253" s="603"/>
      <c r="G253" s="603"/>
      <c r="H253" s="603"/>
      <c r="I253" s="603"/>
    </row>
    <row r="254" spans="1:9" ht="20.25" x14ac:dyDescent="0.25">
      <c r="A254" s="603" t="s">
        <v>258</v>
      </c>
      <c r="B254" s="603"/>
      <c r="C254" s="603"/>
      <c r="D254" s="603"/>
      <c r="E254" s="603"/>
      <c r="F254" s="603"/>
      <c r="G254" s="603"/>
      <c r="H254" s="603"/>
      <c r="I254" s="603"/>
    </row>
    <row r="255" spans="1:9" ht="13.5" customHeight="1" x14ac:dyDescent="0.25">
      <c r="A255" s="306"/>
      <c r="B255" s="307"/>
      <c r="C255" s="307"/>
      <c r="D255" s="307"/>
      <c r="E255" s="303"/>
      <c r="F255" s="307"/>
      <c r="G255" s="307"/>
      <c r="H255" s="307"/>
      <c r="I255" s="303"/>
    </row>
    <row r="256" spans="1:9" ht="12.75" customHeight="1" x14ac:dyDescent="0.25">
      <c r="A256" s="382"/>
      <c r="B256" s="383"/>
      <c r="C256" s="384"/>
      <c r="D256" s="384"/>
      <c r="E256" s="385"/>
      <c r="F256" s="385"/>
      <c r="G256" s="384"/>
      <c r="H256" s="384"/>
      <c r="I256" s="385"/>
    </row>
    <row r="257" spans="1:9" ht="18" customHeight="1" x14ac:dyDescent="0.25">
      <c r="A257" s="338"/>
      <c r="B257" s="340"/>
      <c r="C257" s="340"/>
      <c r="D257" s="340"/>
      <c r="E257" s="340"/>
      <c r="F257" s="340"/>
      <c r="G257" s="340"/>
      <c r="H257" s="605" t="s">
        <v>267</v>
      </c>
      <c r="I257" s="605"/>
    </row>
    <row r="258" spans="1:9" ht="18" customHeight="1" thickBot="1" x14ac:dyDescent="0.3">
      <c r="A258" s="406"/>
      <c r="B258" s="340"/>
      <c r="C258" s="340"/>
      <c r="D258" s="340"/>
      <c r="E258" s="340"/>
      <c r="F258" s="340"/>
      <c r="G258" s="340"/>
      <c r="H258" s="340"/>
      <c r="I258" s="386" t="s">
        <v>204</v>
      </c>
    </row>
    <row r="259" spans="1:9" ht="20.100000000000001" customHeight="1" thickBot="1" x14ac:dyDescent="0.3">
      <c r="A259" s="598" t="s">
        <v>205</v>
      </c>
      <c r="B259" s="600" t="s">
        <v>268</v>
      </c>
      <c r="C259" s="601"/>
      <c r="D259" s="601"/>
      <c r="E259" s="602"/>
      <c r="F259" s="600" t="s">
        <v>269</v>
      </c>
      <c r="G259" s="601"/>
      <c r="H259" s="601"/>
      <c r="I259" s="602"/>
    </row>
    <row r="260" spans="1:9" ht="39" thickBot="1" x14ac:dyDescent="0.3">
      <c r="A260" s="599"/>
      <c r="B260" s="193" t="s">
        <v>2</v>
      </c>
      <c r="C260" s="194" t="s">
        <v>208</v>
      </c>
      <c r="D260" s="195" t="s">
        <v>209</v>
      </c>
      <c r="E260" s="196" t="s">
        <v>61</v>
      </c>
      <c r="F260" s="193" t="s">
        <v>2</v>
      </c>
      <c r="G260" s="194" t="s">
        <v>208</v>
      </c>
      <c r="H260" s="195" t="s">
        <v>209</v>
      </c>
      <c r="I260" s="196" t="s">
        <v>61</v>
      </c>
    </row>
    <row r="261" spans="1:9" ht="15.75" thickBot="1" x14ac:dyDescent="0.3">
      <c r="A261" s="197" t="s">
        <v>210</v>
      </c>
      <c r="B261" s="308">
        <f>SUM(B262:B266)</f>
        <v>126440</v>
      </c>
      <c r="C261" s="309">
        <f>SUM(C262:C266)</f>
        <v>97458</v>
      </c>
      <c r="D261" s="309">
        <f>SUM(D262:D266)</f>
        <v>63561.890000000007</v>
      </c>
      <c r="E261" s="299">
        <f t="shared" ref="E261:E280" si="77">D261/C261*100</f>
        <v>65.219776724332533</v>
      </c>
      <c r="F261" s="198">
        <f>SUM(F262:F266)</f>
        <v>209555</v>
      </c>
      <c r="G261" s="199">
        <f>SUM(G262:G266)</f>
        <v>209555</v>
      </c>
      <c r="H261" s="199">
        <f>SUM(H262:H266)</f>
        <v>146043.26</v>
      </c>
      <c r="I261" s="200">
        <f>H261/G261*100</f>
        <v>69.692090381999961</v>
      </c>
    </row>
    <row r="262" spans="1:9" x14ac:dyDescent="0.25">
      <c r="A262" s="201" t="s">
        <v>211</v>
      </c>
      <c r="B262" s="205">
        <v>64850</v>
      </c>
      <c r="C262" s="318">
        <v>64850</v>
      </c>
      <c r="D262" s="440">
        <v>30068</v>
      </c>
      <c r="E262" s="348">
        <f t="shared" si="77"/>
        <v>46.365458750963761</v>
      </c>
      <c r="F262" s="205">
        <v>95455</v>
      </c>
      <c r="G262" s="206">
        <v>95455</v>
      </c>
      <c r="H262" s="440">
        <v>49774</v>
      </c>
      <c r="I262" s="348">
        <f>H262/G262*100</f>
        <v>52.143942171703948</v>
      </c>
    </row>
    <row r="263" spans="1:9" x14ac:dyDescent="0.25">
      <c r="A263" s="208" t="s">
        <v>212</v>
      </c>
      <c r="B263" s="209">
        <v>25290</v>
      </c>
      <c r="C263" s="232">
        <v>10088</v>
      </c>
      <c r="D263" s="438">
        <v>10088.4</v>
      </c>
      <c r="E263" s="233">
        <f t="shared" si="77"/>
        <v>100.00396510705789</v>
      </c>
      <c r="F263" s="209">
        <v>70600</v>
      </c>
      <c r="G263" s="232">
        <v>70600</v>
      </c>
      <c r="H263" s="438">
        <v>45724.06</v>
      </c>
      <c r="I263" s="233">
        <f>H263/G263*100</f>
        <v>64.764957507082158</v>
      </c>
    </row>
    <row r="264" spans="1:9" x14ac:dyDescent="0.25">
      <c r="A264" s="213" t="s">
        <v>213</v>
      </c>
      <c r="B264" s="209">
        <v>15580</v>
      </c>
      <c r="C264" s="232">
        <v>15580</v>
      </c>
      <c r="D264" s="438">
        <v>16322.22</v>
      </c>
      <c r="E264" s="350">
        <f t="shared" si="77"/>
        <v>104.76392811296533</v>
      </c>
      <c r="F264" s="209">
        <v>7500</v>
      </c>
      <c r="G264" s="232">
        <v>7500</v>
      </c>
      <c r="H264" s="438">
        <v>12016.19</v>
      </c>
      <c r="I264" s="350">
        <f>H264/G264*100</f>
        <v>160.21586666666667</v>
      </c>
    </row>
    <row r="265" spans="1:9" x14ac:dyDescent="0.25">
      <c r="A265" s="208" t="s">
        <v>214</v>
      </c>
      <c r="B265" s="209">
        <v>20720</v>
      </c>
      <c r="C265" s="232">
        <v>6940</v>
      </c>
      <c r="D265" s="438">
        <v>6939.76</v>
      </c>
      <c r="E265" s="350">
        <f t="shared" si="77"/>
        <v>99.996541786743521</v>
      </c>
      <c r="F265" s="209">
        <v>36000</v>
      </c>
      <c r="G265" s="232">
        <v>36000</v>
      </c>
      <c r="H265" s="438">
        <v>31920.560000000001</v>
      </c>
      <c r="I265" s="350">
        <f t="shared" ref="I265:I308" si="78">H265/G265*100</f>
        <v>88.668222222222226</v>
      </c>
    </row>
    <row r="266" spans="1:9" ht="15.75" thickBot="1" x14ac:dyDescent="0.3">
      <c r="A266" s="387" t="s">
        <v>215</v>
      </c>
      <c r="B266" s="217">
        <v>0</v>
      </c>
      <c r="C266" s="240">
        <v>0</v>
      </c>
      <c r="D266" s="441">
        <f>0.47+93.06+49.98</f>
        <v>143.51</v>
      </c>
      <c r="E266" s="358"/>
      <c r="F266" s="217">
        <v>0</v>
      </c>
      <c r="G266" s="240">
        <v>0</v>
      </c>
      <c r="H266" s="441">
        <f>0.19+0.76+273.78+1454.29+330+300+1084.59+800+847.35+899.55+617.94</f>
        <v>6608.4500000000007</v>
      </c>
      <c r="I266" s="358"/>
    </row>
    <row r="267" spans="1:9" ht="20.25" customHeight="1" thickBot="1" x14ac:dyDescent="0.3">
      <c r="A267" s="298" t="s">
        <v>216</v>
      </c>
      <c r="B267" s="220">
        <f>B268+B291+B292</f>
        <v>1206384</v>
      </c>
      <c r="C267" s="354">
        <f t="shared" ref="C267:D267" si="79">C268+C291+C292</f>
        <v>1390894</v>
      </c>
      <c r="D267" s="354">
        <f t="shared" si="79"/>
        <v>727032.25</v>
      </c>
      <c r="E267" s="316">
        <f t="shared" si="77"/>
        <v>52.270859605404873</v>
      </c>
      <c r="F267" s="220">
        <f>F268+F291+F292</f>
        <v>1417350</v>
      </c>
      <c r="G267" s="221">
        <f t="shared" ref="G267:H267" si="80">G268+G291+G292</f>
        <v>1687626</v>
      </c>
      <c r="H267" s="354">
        <f t="shared" si="80"/>
        <v>895103.25</v>
      </c>
      <c r="I267" s="316">
        <f t="shared" ref="I267" si="81">H267/G267*100</f>
        <v>53.039195295640148</v>
      </c>
    </row>
    <row r="268" spans="1:9" ht="15.75" thickBot="1" x14ac:dyDescent="0.3">
      <c r="A268" s="272" t="s">
        <v>217</v>
      </c>
      <c r="B268" s="224">
        <f>B273+B289+B290</f>
        <v>1206384</v>
      </c>
      <c r="C268" s="225">
        <f t="shared" ref="C268:D268" si="82">C273+C289+C290</f>
        <v>1390894</v>
      </c>
      <c r="D268" s="442">
        <f t="shared" si="82"/>
        <v>727032.17</v>
      </c>
      <c r="E268" s="355">
        <f t="shared" si="77"/>
        <v>52.270853853708473</v>
      </c>
      <c r="F268" s="224">
        <f>F273+F289+F290</f>
        <v>1417350</v>
      </c>
      <c r="G268" s="225">
        <f t="shared" ref="G268:H268" si="83">G273+G289+G290</f>
        <v>1687626</v>
      </c>
      <c r="H268" s="442">
        <f t="shared" si="83"/>
        <v>895103.25</v>
      </c>
      <c r="I268" s="355">
        <f t="shared" si="78"/>
        <v>53.039195295640148</v>
      </c>
    </row>
    <row r="269" spans="1:9" x14ac:dyDescent="0.25">
      <c r="A269" s="317" t="s">
        <v>218</v>
      </c>
      <c r="B269" s="205">
        <v>1042741</v>
      </c>
      <c r="C269" s="318">
        <v>1168388</v>
      </c>
      <c r="D269" s="440">
        <v>497970.18</v>
      </c>
      <c r="E269" s="357">
        <f t="shared" si="77"/>
        <v>42.620275114088813</v>
      </c>
      <c r="F269" s="205">
        <v>1194430</v>
      </c>
      <c r="G269" s="318">
        <v>1419967</v>
      </c>
      <c r="H269" s="440">
        <v>627207.31999999995</v>
      </c>
      <c r="I269" s="357">
        <f t="shared" si="78"/>
        <v>44.170556076303178</v>
      </c>
    </row>
    <row r="270" spans="1:9" x14ac:dyDescent="0.25">
      <c r="A270" s="319" t="s">
        <v>219</v>
      </c>
      <c r="B270" s="209">
        <v>163643</v>
      </c>
      <c r="C270" s="232">
        <v>138642</v>
      </c>
      <c r="D270" s="438">
        <f>57068.01+21463.92</f>
        <v>78531.929999999993</v>
      </c>
      <c r="E270" s="233">
        <f t="shared" si="77"/>
        <v>56.643679404509449</v>
      </c>
      <c r="F270" s="209">
        <v>222920</v>
      </c>
      <c r="G270" s="232">
        <v>197394</v>
      </c>
      <c r="H270" s="438">
        <v>59876.97</v>
      </c>
      <c r="I270" s="233">
        <f t="shared" si="78"/>
        <v>30.333733548132162</v>
      </c>
    </row>
    <row r="271" spans="1:9" x14ac:dyDescent="0.25">
      <c r="A271" s="320" t="s">
        <v>265</v>
      </c>
      <c r="B271" s="234">
        <v>0</v>
      </c>
      <c r="C271" s="235">
        <v>0</v>
      </c>
      <c r="D271" s="438">
        <f>69895.54</f>
        <v>69895.539999999994</v>
      </c>
      <c r="E271" s="233"/>
      <c r="F271" s="234">
        <v>0</v>
      </c>
      <c r="G271" s="235">
        <v>0</v>
      </c>
      <c r="H271" s="438">
        <f>103814.01+26650</f>
        <v>130464.01</v>
      </c>
      <c r="I271" s="233"/>
    </row>
    <row r="272" spans="1:9" ht="18" customHeight="1" thickBot="1" x14ac:dyDescent="0.3">
      <c r="A272" s="321" t="s">
        <v>262</v>
      </c>
      <c r="B272" s="217">
        <v>0</v>
      </c>
      <c r="C272" s="240">
        <v>0</v>
      </c>
      <c r="D272" s="441">
        <v>0</v>
      </c>
      <c r="E272" s="352"/>
      <c r="F272" s="217">
        <v>0</v>
      </c>
      <c r="G272" s="240">
        <v>0</v>
      </c>
      <c r="H272" s="441">
        <v>0</v>
      </c>
      <c r="I272" s="352"/>
    </row>
    <row r="273" spans="1:9" ht="26.25" thickBot="1" x14ac:dyDescent="0.3">
      <c r="A273" s="322" t="s">
        <v>222</v>
      </c>
      <c r="B273" s="224">
        <f>SUM(B269:B272)</f>
        <v>1206384</v>
      </c>
      <c r="C273" s="225">
        <f t="shared" ref="C273:D273" si="84">SUM(C269:C272)</f>
        <v>1307030</v>
      </c>
      <c r="D273" s="442">
        <f t="shared" si="84"/>
        <v>646397.65</v>
      </c>
      <c r="E273" s="263">
        <f t="shared" si="77"/>
        <v>49.45545626343695</v>
      </c>
      <c r="F273" s="224">
        <f>SUM(F269:F272)</f>
        <v>1417350</v>
      </c>
      <c r="G273" s="225">
        <f t="shared" ref="G273:H273" si="85">SUM(G269:G272)</f>
        <v>1617361</v>
      </c>
      <c r="H273" s="442">
        <f t="shared" si="85"/>
        <v>817548.29999999993</v>
      </c>
      <c r="I273" s="263">
        <f t="shared" si="78"/>
        <v>50.548288230024085</v>
      </c>
    </row>
    <row r="274" spans="1:9" x14ac:dyDescent="0.25">
      <c r="A274" s="394" t="s">
        <v>223</v>
      </c>
      <c r="B274" s="245">
        <v>0</v>
      </c>
      <c r="C274" s="246">
        <v>9248</v>
      </c>
      <c r="D274" s="440">
        <v>784</v>
      </c>
      <c r="E274" s="348">
        <f t="shared" si="77"/>
        <v>8.4775086505190309</v>
      </c>
      <c r="F274" s="245">
        <v>0</v>
      </c>
      <c r="G274" s="246">
        <v>21568</v>
      </c>
      <c r="H274" s="440">
        <v>9606.4</v>
      </c>
      <c r="I274" s="348">
        <f t="shared" si="78"/>
        <v>44.540059347181007</v>
      </c>
    </row>
    <row r="275" spans="1:9" x14ac:dyDescent="0.25">
      <c r="A275" s="396" t="s">
        <v>224</v>
      </c>
      <c r="B275" s="234">
        <v>0</v>
      </c>
      <c r="C275" s="235">
        <v>0</v>
      </c>
      <c r="D275" s="438">
        <v>0</v>
      </c>
      <c r="E275" s="233"/>
      <c r="F275" s="234">
        <v>0</v>
      </c>
      <c r="G275" s="235">
        <v>834</v>
      </c>
      <c r="H275" s="438">
        <v>834</v>
      </c>
      <c r="I275" s="230">
        <f t="shared" si="78"/>
        <v>100</v>
      </c>
    </row>
    <row r="276" spans="1:9" x14ac:dyDescent="0.25">
      <c r="A276" s="396" t="s">
        <v>225</v>
      </c>
      <c r="B276" s="234">
        <v>0</v>
      </c>
      <c r="C276" s="235">
        <v>42239</v>
      </c>
      <c r="D276" s="438">
        <v>41440.51</v>
      </c>
      <c r="E276" s="233">
        <f t="shared" si="77"/>
        <v>98.109590662657737</v>
      </c>
      <c r="F276" s="234">
        <v>0</v>
      </c>
      <c r="G276" s="235">
        <v>0</v>
      </c>
      <c r="H276" s="438">
        <v>0</v>
      </c>
      <c r="I276" s="230"/>
    </row>
    <row r="277" spans="1:9" x14ac:dyDescent="0.25">
      <c r="A277" s="251" t="s">
        <v>226</v>
      </c>
      <c r="B277" s="234">
        <v>0</v>
      </c>
      <c r="C277" s="235">
        <v>3600</v>
      </c>
      <c r="D277" s="438">
        <v>900</v>
      </c>
      <c r="E277" s="233">
        <f t="shared" si="77"/>
        <v>25</v>
      </c>
      <c r="F277" s="234">
        <v>0</v>
      </c>
      <c r="G277" s="235">
        <v>10500</v>
      </c>
      <c r="H277" s="438">
        <v>3750</v>
      </c>
      <c r="I277" s="230">
        <f t="shared" si="78"/>
        <v>35.714285714285715</v>
      </c>
    </row>
    <row r="278" spans="1:9" x14ac:dyDescent="0.25">
      <c r="A278" s="396" t="s">
        <v>227</v>
      </c>
      <c r="B278" s="234">
        <v>0</v>
      </c>
      <c r="C278" s="235">
        <v>0</v>
      </c>
      <c r="D278" s="438">
        <v>0</v>
      </c>
      <c r="E278" s="233"/>
      <c r="F278" s="234">
        <v>0</v>
      </c>
      <c r="G278" s="235">
        <v>0</v>
      </c>
      <c r="H278" s="438">
        <v>0</v>
      </c>
      <c r="I278" s="233"/>
    </row>
    <row r="279" spans="1:9" x14ac:dyDescent="0.25">
      <c r="A279" s="251" t="s">
        <v>228</v>
      </c>
      <c r="B279" s="234">
        <v>0</v>
      </c>
      <c r="C279" s="235">
        <v>9647</v>
      </c>
      <c r="D279" s="438">
        <v>0</v>
      </c>
      <c r="E279" s="233">
        <f t="shared" ref="E279" si="86">D279/C279*100</f>
        <v>0</v>
      </c>
      <c r="F279" s="234">
        <v>0</v>
      </c>
      <c r="G279" s="235">
        <v>16299</v>
      </c>
      <c r="H279" s="438">
        <v>9869.25</v>
      </c>
      <c r="I279" s="230">
        <f t="shared" ref="I279:I280" si="87">H279/G279*100</f>
        <v>60.551260813546847</v>
      </c>
    </row>
    <row r="280" spans="1:9" x14ac:dyDescent="0.25">
      <c r="A280" s="251" t="s">
        <v>229</v>
      </c>
      <c r="B280" s="234">
        <v>0</v>
      </c>
      <c r="C280" s="235">
        <v>5400</v>
      </c>
      <c r="D280" s="438">
        <v>3600</v>
      </c>
      <c r="E280" s="233">
        <f t="shared" si="77"/>
        <v>66.666666666666657</v>
      </c>
      <c r="F280" s="234">
        <v>0</v>
      </c>
      <c r="G280" s="235">
        <v>9500</v>
      </c>
      <c r="H280" s="438">
        <v>6900</v>
      </c>
      <c r="I280" s="230">
        <f t="shared" si="87"/>
        <v>72.631578947368425</v>
      </c>
    </row>
    <row r="281" spans="1:9" x14ac:dyDescent="0.25">
      <c r="A281" s="396" t="s">
        <v>230</v>
      </c>
      <c r="B281" s="234">
        <v>0</v>
      </c>
      <c r="C281" s="235">
        <v>0</v>
      </c>
      <c r="D281" s="438">
        <v>0</v>
      </c>
      <c r="E281" s="233"/>
      <c r="F281" s="234">
        <v>0</v>
      </c>
      <c r="G281" s="235">
        <v>0</v>
      </c>
      <c r="H281" s="438">
        <v>0</v>
      </c>
      <c r="I281" s="230"/>
    </row>
    <row r="282" spans="1:9" x14ac:dyDescent="0.25">
      <c r="A282" s="396" t="s">
        <v>231</v>
      </c>
      <c r="B282" s="234">
        <v>0</v>
      </c>
      <c r="C282" s="235">
        <v>0</v>
      </c>
      <c r="D282" s="438">
        <v>0</v>
      </c>
      <c r="E282" s="233"/>
      <c r="F282" s="234">
        <v>0</v>
      </c>
      <c r="G282" s="235">
        <v>0</v>
      </c>
      <c r="H282" s="438">
        <v>0</v>
      </c>
      <c r="I282" s="233"/>
    </row>
    <row r="283" spans="1:9" x14ac:dyDescent="0.25">
      <c r="A283" s="251" t="s">
        <v>232</v>
      </c>
      <c r="B283" s="237">
        <v>0</v>
      </c>
      <c r="C283" s="238">
        <v>0</v>
      </c>
      <c r="D283" s="439">
        <v>0</v>
      </c>
      <c r="E283" s="233"/>
      <c r="F283" s="237">
        <v>0</v>
      </c>
      <c r="G283" s="238">
        <v>0</v>
      </c>
      <c r="H283" s="439">
        <v>0</v>
      </c>
      <c r="I283" s="233"/>
    </row>
    <row r="284" spans="1:9" x14ac:dyDescent="0.25">
      <c r="A284" s="251" t="s">
        <v>233</v>
      </c>
      <c r="B284" s="237">
        <v>0</v>
      </c>
      <c r="C284" s="238">
        <v>0</v>
      </c>
      <c r="D284" s="439">
        <v>0</v>
      </c>
      <c r="E284" s="233"/>
      <c r="F284" s="237">
        <v>0</v>
      </c>
      <c r="G284" s="238">
        <v>0</v>
      </c>
      <c r="H284" s="439">
        <v>0</v>
      </c>
      <c r="I284" s="233"/>
    </row>
    <row r="285" spans="1:9" x14ac:dyDescent="0.25">
      <c r="A285" s="251" t="s">
        <v>234</v>
      </c>
      <c r="B285" s="237">
        <v>0</v>
      </c>
      <c r="C285" s="238">
        <v>0</v>
      </c>
      <c r="D285" s="439">
        <v>0</v>
      </c>
      <c r="E285" s="239"/>
      <c r="F285" s="237">
        <v>0</v>
      </c>
      <c r="G285" s="238">
        <v>0</v>
      </c>
      <c r="H285" s="439">
        <v>0</v>
      </c>
      <c r="I285" s="239"/>
    </row>
    <row r="286" spans="1:9" x14ac:dyDescent="0.25">
      <c r="A286" s="399" t="s">
        <v>235</v>
      </c>
      <c r="B286" s="234">
        <v>0</v>
      </c>
      <c r="C286" s="235">
        <v>13730</v>
      </c>
      <c r="D286" s="438">
        <v>0</v>
      </c>
      <c r="E286" s="233">
        <f t="shared" ref="E286" si="88">D286/C286*100</f>
        <v>0</v>
      </c>
      <c r="F286" s="234">
        <v>0</v>
      </c>
      <c r="G286" s="235">
        <v>11564</v>
      </c>
      <c r="H286" s="438">
        <v>0</v>
      </c>
      <c r="I286" s="233">
        <f t="shared" ref="I286" si="89">H286/G286*100</f>
        <v>0</v>
      </c>
    </row>
    <row r="287" spans="1:9" x14ac:dyDescent="0.25">
      <c r="A287" s="399" t="s">
        <v>236</v>
      </c>
      <c r="B287" s="234">
        <v>0</v>
      </c>
      <c r="C287" s="235">
        <v>0</v>
      </c>
      <c r="D287" s="438">
        <v>0</v>
      </c>
      <c r="E287" s="233"/>
      <c r="F287" s="234">
        <v>0</v>
      </c>
      <c r="G287" s="235">
        <v>0</v>
      </c>
      <c r="H287" s="438">
        <v>0</v>
      </c>
      <c r="I287" s="233"/>
    </row>
    <row r="288" spans="1:9" ht="15.75" thickBot="1" x14ac:dyDescent="0.3">
      <c r="A288" s="400" t="s">
        <v>237</v>
      </c>
      <c r="B288" s="217">
        <v>0</v>
      </c>
      <c r="C288" s="240">
        <v>0</v>
      </c>
      <c r="D288" s="441">
        <v>0</v>
      </c>
      <c r="E288" s="352"/>
      <c r="F288" s="237">
        <v>0</v>
      </c>
      <c r="G288" s="238">
        <v>0</v>
      </c>
      <c r="H288" s="439">
        <v>0</v>
      </c>
      <c r="I288" s="239"/>
    </row>
    <row r="289" spans="1:9" ht="15.75" thickBot="1" x14ac:dyDescent="0.3">
      <c r="A289" s="278" t="s">
        <v>238</v>
      </c>
      <c r="B289" s="261">
        <f>SUM(B274:B288)</f>
        <v>0</v>
      </c>
      <c r="C289" s="262">
        <f>SUM(C274:C288)</f>
        <v>83864</v>
      </c>
      <c r="D289" s="445">
        <f>SUM(D274:D288)</f>
        <v>46724.51</v>
      </c>
      <c r="E289" s="407">
        <f t="shared" ref="E289:E308" si="90">D289/C289*100</f>
        <v>55.714621291614996</v>
      </c>
      <c r="F289" s="261">
        <f>SUM(F274:F288)</f>
        <v>0</v>
      </c>
      <c r="G289" s="262">
        <f>SUM(G274:G288)</f>
        <v>70265</v>
      </c>
      <c r="H289" s="445">
        <f>SUM(H274:H288)</f>
        <v>30959.65</v>
      </c>
      <c r="I289" s="266">
        <f t="shared" si="78"/>
        <v>44.06126805664271</v>
      </c>
    </row>
    <row r="290" spans="1:9" ht="15.75" thickBot="1" x14ac:dyDescent="0.3">
      <c r="A290" s="278" t="s">
        <v>239</v>
      </c>
      <c r="B290" s="261">
        <v>0</v>
      </c>
      <c r="C290" s="262">
        <v>0</v>
      </c>
      <c r="D290" s="445">
        <f>33410.01+500</f>
        <v>33910.01</v>
      </c>
      <c r="E290" s="263"/>
      <c r="F290" s="261">
        <v>0</v>
      </c>
      <c r="G290" s="262">
        <v>0</v>
      </c>
      <c r="H290" s="445">
        <f>40261.58+6333.72</f>
        <v>46595.3</v>
      </c>
      <c r="I290" s="266"/>
    </row>
    <row r="291" spans="1:9" ht="15.75" thickBot="1" x14ac:dyDescent="0.3">
      <c r="A291" s="278" t="s">
        <v>240</v>
      </c>
      <c r="B291" s="261">
        <v>0</v>
      </c>
      <c r="C291" s="262">
        <v>0</v>
      </c>
      <c r="D291" s="445">
        <v>0.08</v>
      </c>
      <c r="E291" s="263"/>
      <c r="F291" s="261">
        <v>0</v>
      </c>
      <c r="G291" s="262">
        <v>0</v>
      </c>
      <c r="H291" s="445">
        <v>0</v>
      </c>
      <c r="I291" s="266"/>
    </row>
    <row r="292" spans="1:9" ht="15.75" thickBot="1" x14ac:dyDescent="0.3">
      <c r="A292" s="278" t="s">
        <v>241</v>
      </c>
      <c r="B292" s="261">
        <v>0</v>
      </c>
      <c r="C292" s="262">
        <v>0</v>
      </c>
      <c r="D292" s="445">
        <v>0</v>
      </c>
      <c r="E292" s="263"/>
      <c r="F292" s="261">
        <v>0</v>
      </c>
      <c r="G292" s="262">
        <v>0</v>
      </c>
      <c r="H292" s="445">
        <v>0</v>
      </c>
      <c r="I292" s="266"/>
    </row>
    <row r="293" spans="1:9" ht="26.25" thickBot="1" x14ac:dyDescent="0.3">
      <c r="A293" s="326" t="s">
        <v>242</v>
      </c>
      <c r="B293" s="308">
        <f>B297+B304</f>
        <v>446953</v>
      </c>
      <c r="C293" s="309">
        <f t="shared" ref="C293:D293" si="91">C297+C304</f>
        <v>368251</v>
      </c>
      <c r="D293" s="309">
        <f t="shared" si="91"/>
        <v>216696.35</v>
      </c>
      <c r="E293" s="327">
        <f t="shared" ref="E293" si="92">E294+E295+E298+E299</f>
        <v>261.10632239048465</v>
      </c>
      <c r="F293" s="408">
        <f>F297+F304</f>
        <v>565386</v>
      </c>
      <c r="G293" s="345">
        <f t="shared" ref="G293:H293" si="93">G297+G304</f>
        <v>567386</v>
      </c>
      <c r="H293" s="345">
        <f t="shared" si="93"/>
        <v>336553.99</v>
      </c>
      <c r="I293" s="409">
        <f t="shared" si="78"/>
        <v>59.316583419400551</v>
      </c>
    </row>
    <row r="294" spans="1:9" x14ac:dyDescent="0.25">
      <c r="A294" s="328" t="s">
        <v>243</v>
      </c>
      <c r="B294" s="205">
        <v>277000</v>
      </c>
      <c r="C294" s="318">
        <v>287000</v>
      </c>
      <c r="D294" s="440">
        <v>113107.91</v>
      </c>
      <c r="E294" s="348">
        <f>D294/C294*100</f>
        <v>39.410421602787459</v>
      </c>
      <c r="F294" s="205">
        <v>282000</v>
      </c>
      <c r="G294" s="318">
        <v>284000</v>
      </c>
      <c r="H294" s="440">
        <v>114112.87</v>
      </c>
      <c r="I294" s="348">
        <f t="shared" si="78"/>
        <v>40.180588028169012</v>
      </c>
    </row>
    <row r="295" spans="1:9" x14ac:dyDescent="0.25">
      <c r="A295" s="329" t="s">
        <v>244</v>
      </c>
      <c r="B295" s="209">
        <v>10235</v>
      </c>
      <c r="C295" s="232">
        <v>10235</v>
      </c>
      <c r="D295" s="438">
        <v>2220.9</v>
      </c>
      <c r="E295" s="233">
        <f>D295/C295*100</f>
        <v>21.699071812408405</v>
      </c>
      <c r="F295" s="209">
        <v>13437</v>
      </c>
      <c r="G295" s="232">
        <v>13437</v>
      </c>
      <c r="H295" s="438">
        <v>2434.36</v>
      </c>
      <c r="I295" s="233">
        <f t="shared" si="78"/>
        <v>18.116841556895142</v>
      </c>
    </row>
    <row r="296" spans="1:9" ht="15.75" thickBot="1" x14ac:dyDescent="0.3">
      <c r="A296" s="330" t="s">
        <v>245</v>
      </c>
      <c r="B296" s="217">
        <v>0</v>
      </c>
      <c r="C296" s="240">
        <v>0</v>
      </c>
      <c r="D296" s="441">
        <v>0</v>
      </c>
      <c r="E296" s="352"/>
      <c r="F296" s="217">
        <v>0</v>
      </c>
      <c r="G296" s="240">
        <v>0</v>
      </c>
      <c r="H296" s="441">
        <v>0</v>
      </c>
      <c r="I296" s="352"/>
    </row>
    <row r="297" spans="1:9" ht="15.75" thickBot="1" x14ac:dyDescent="0.3">
      <c r="A297" s="272" t="s">
        <v>246</v>
      </c>
      <c r="B297" s="261">
        <f>SUM(B294:B296)</f>
        <v>287235</v>
      </c>
      <c r="C297" s="262">
        <f t="shared" ref="C297:D297" si="94">SUM(C294:C296)</f>
        <v>297235</v>
      </c>
      <c r="D297" s="445">
        <f t="shared" si="94"/>
        <v>115328.81</v>
      </c>
      <c r="E297" s="266">
        <f t="shared" ref="E297" si="95">D297/C297*100</f>
        <v>38.800548387639409</v>
      </c>
      <c r="F297" s="261">
        <f>SUM(F294:F296)</f>
        <v>295437</v>
      </c>
      <c r="G297" s="262">
        <f t="shared" ref="G297:H297" si="96">SUM(G294:G296)</f>
        <v>297437</v>
      </c>
      <c r="H297" s="445">
        <f t="shared" si="96"/>
        <v>116547.23</v>
      </c>
      <c r="I297" s="266">
        <v>2.6678793390935271</v>
      </c>
    </row>
    <row r="298" spans="1:9" x14ac:dyDescent="0.25">
      <c r="A298" s="328" t="s">
        <v>247</v>
      </c>
      <c r="B298" s="205">
        <v>114000</v>
      </c>
      <c r="C298" s="318">
        <v>60684</v>
      </c>
      <c r="D298" s="440">
        <v>60684.42</v>
      </c>
      <c r="E298" s="348">
        <f t="shared" si="90"/>
        <v>100.0006921099466</v>
      </c>
      <c r="F298" s="205">
        <v>187000</v>
      </c>
      <c r="G298" s="318">
        <v>187000</v>
      </c>
      <c r="H298" s="440">
        <v>75276.89</v>
      </c>
      <c r="I298" s="348">
        <f t="shared" si="78"/>
        <v>40.255021390374331</v>
      </c>
    </row>
    <row r="299" spans="1:9" x14ac:dyDescent="0.25">
      <c r="A299" s="329" t="s">
        <v>248</v>
      </c>
      <c r="B299" s="209">
        <v>24998</v>
      </c>
      <c r="C299" s="232">
        <v>3624</v>
      </c>
      <c r="D299" s="438">
        <v>3623.86</v>
      </c>
      <c r="E299" s="233">
        <f t="shared" si="90"/>
        <v>99.996136865342166</v>
      </c>
      <c r="F299" s="209">
        <v>46949</v>
      </c>
      <c r="G299" s="232">
        <v>46949</v>
      </c>
      <c r="H299" s="438">
        <v>12821.04</v>
      </c>
      <c r="I299" s="233">
        <f t="shared" si="78"/>
        <v>27.308441074357283</v>
      </c>
    </row>
    <row r="300" spans="1:9" x14ac:dyDescent="0.25">
      <c r="A300" s="373" t="s">
        <v>249</v>
      </c>
      <c r="B300" s="234">
        <v>20720</v>
      </c>
      <c r="C300" s="235">
        <v>6708</v>
      </c>
      <c r="D300" s="438">
        <v>6707.96</v>
      </c>
      <c r="E300" s="233">
        <f t="shared" si="90"/>
        <v>99.999403697078122</v>
      </c>
      <c r="F300" s="234">
        <v>36000</v>
      </c>
      <c r="G300" s="235">
        <v>36000</v>
      </c>
      <c r="H300" s="438">
        <v>41291.730000000003</v>
      </c>
      <c r="I300" s="233">
        <f t="shared" si="78"/>
        <v>114.69925000000001</v>
      </c>
    </row>
    <row r="301" spans="1:9" x14ac:dyDescent="0.25">
      <c r="A301" s="374" t="s">
        <v>250</v>
      </c>
      <c r="B301" s="234">
        <v>0</v>
      </c>
      <c r="C301" s="235">
        <v>0</v>
      </c>
      <c r="D301" s="438">
        <v>30351.3</v>
      </c>
      <c r="E301" s="233"/>
      <c r="F301" s="234">
        <v>0</v>
      </c>
      <c r="G301" s="235">
        <v>0</v>
      </c>
      <c r="H301" s="438">
        <v>88236.6</v>
      </c>
      <c r="I301" s="233"/>
    </row>
    <row r="302" spans="1:9" x14ac:dyDescent="0.25">
      <c r="A302" s="374" t="s">
        <v>251</v>
      </c>
      <c r="B302" s="234">
        <v>0</v>
      </c>
      <c r="C302" s="235">
        <v>0</v>
      </c>
      <c r="D302" s="438">
        <v>0</v>
      </c>
      <c r="E302" s="410"/>
      <c r="F302" s="234">
        <v>0</v>
      </c>
      <c r="G302" s="235">
        <v>0</v>
      </c>
      <c r="H302" s="438">
        <v>2380.5</v>
      </c>
      <c r="I302" s="233"/>
    </row>
    <row r="303" spans="1:9" ht="15.75" thickBot="1" x14ac:dyDescent="0.3">
      <c r="A303" s="330" t="s">
        <v>252</v>
      </c>
      <c r="B303" s="217">
        <v>0</v>
      </c>
      <c r="C303" s="240">
        <v>0</v>
      </c>
      <c r="D303" s="441">
        <v>0</v>
      </c>
      <c r="E303" s="411"/>
      <c r="F303" s="217">
        <v>0</v>
      </c>
      <c r="G303" s="240">
        <v>0</v>
      </c>
      <c r="H303" s="441">
        <v>0</v>
      </c>
      <c r="I303" s="352"/>
    </row>
    <row r="304" spans="1:9" ht="15.75" thickBot="1" x14ac:dyDescent="0.3">
      <c r="A304" s="278" t="s">
        <v>253</v>
      </c>
      <c r="B304" s="333">
        <f>SUM(B298:B303)</f>
        <v>159718</v>
      </c>
      <c r="C304" s="334">
        <f t="shared" ref="C304:D304" si="97">SUM(C298:C303)</f>
        <v>71016</v>
      </c>
      <c r="D304" s="452">
        <f t="shared" si="97"/>
        <v>101367.54000000001</v>
      </c>
      <c r="E304" s="266">
        <f t="shared" ref="E304:E306" si="98">D304/C304*100</f>
        <v>142.73901655964855</v>
      </c>
      <c r="F304" s="333">
        <f>SUM(F298:F303)</f>
        <v>269949</v>
      </c>
      <c r="G304" s="334">
        <f t="shared" ref="G304:H304" si="99">SUM(G298:G303)</f>
        <v>269949</v>
      </c>
      <c r="H304" s="452">
        <f t="shared" si="99"/>
        <v>220006.76</v>
      </c>
      <c r="I304" s="266">
        <f t="shared" ref="I304:I305" si="100">H304/G304*100</f>
        <v>81.49937951242643</v>
      </c>
    </row>
    <row r="305" spans="1:9" ht="19.5" customHeight="1" thickBot="1" x14ac:dyDescent="0.3">
      <c r="A305" s="298" t="s">
        <v>270</v>
      </c>
      <c r="B305" s="281">
        <f>B267+B293</f>
        <v>1653337</v>
      </c>
      <c r="C305" s="282">
        <f>C267+C293</f>
        <v>1759145</v>
      </c>
      <c r="D305" s="282">
        <f>D267+D293</f>
        <v>943728.6</v>
      </c>
      <c r="E305" s="283">
        <f t="shared" si="98"/>
        <v>53.6470046528285</v>
      </c>
      <c r="F305" s="281">
        <f>F267+F293</f>
        <v>1982736</v>
      </c>
      <c r="G305" s="282">
        <f>G267+G293</f>
        <v>2255012</v>
      </c>
      <c r="H305" s="282">
        <f>H267+H293</f>
        <v>1231657.24</v>
      </c>
      <c r="I305" s="283">
        <f t="shared" si="100"/>
        <v>54.618655687863303</v>
      </c>
    </row>
    <row r="306" spans="1:9" x14ac:dyDescent="0.25">
      <c r="A306" s="412" t="s">
        <v>255</v>
      </c>
      <c r="B306" s="245">
        <v>0</v>
      </c>
      <c r="C306" s="335">
        <v>87018</v>
      </c>
      <c r="D306" s="462">
        <v>0</v>
      </c>
      <c r="E306" s="413">
        <f t="shared" si="98"/>
        <v>0</v>
      </c>
      <c r="F306" s="245">
        <v>0</v>
      </c>
      <c r="G306" s="335">
        <v>0</v>
      </c>
      <c r="H306" s="453">
        <v>0</v>
      </c>
      <c r="I306" s="348"/>
    </row>
    <row r="307" spans="1:9" ht="15.75" thickBot="1" x14ac:dyDescent="0.3">
      <c r="A307" s="414" t="s">
        <v>256</v>
      </c>
      <c r="B307" s="217">
        <v>0</v>
      </c>
      <c r="C307" s="240">
        <v>0</v>
      </c>
      <c r="D307" s="441">
        <v>0</v>
      </c>
      <c r="E307" s="415"/>
      <c r="F307" s="217">
        <v>0</v>
      </c>
      <c r="G307" s="240">
        <v>0</v>
      </c>
      <c r="H307" s="454">
        <v>0</v>
      </c>
      <c r="I307" s="352"/>
    </row>
    <row r="308" spans="1:9" ht="23.25" customHeight="1" thickBot="1" x14ac:dyDescent="0.3">
      <c r="A308" s="298" t="s">
        <v>257</v>
      </c>
      <c r="B308" s="281">
        <f>SUM(B305:B307)</f>
        <v>1653337</v>
      </c>
      <c r="C308" s="282">
        <f t="shared" ref="C308:D308" si="101">SUM(C305:C307)</f>
        <v>1846163</v>
      </c>
      <c r="D308" s="282">
        <f t="shared" si="101"/>
        <v>943728.6</v>
      </c>
      <c r="E308" s="222">
        <f t="shared" si="90"/>
        <v>51.118379038037261</v>
      </c>
      <c r="F308" s="281">
        <f>SUM(F305:F307)</f>
        <v>1982736</v>
      </c>
      <c r="G308" s="282">
        <f t="shared" ref="G308:H308" si="102">SUM(G305:G307)</f>
        <v>2255012</v>
      </c>
      <c r="H308" s="282">
        <f t="shared" si="102"/>
        <v>1231657.24</v>
      </c>
      <c r="I308" s="222">
        <f t="shared" si="78"/>
        <v>54.618655687863303</v>
      </c>
    </row>
    <row r="309" spans="1:9" ht="16.5" customHeight="1" x14ac:dyDescent="0.25">
      <c r="A309" s="192"/>
      <c r="D309" s="416"/>
    </row>
    <row r="310" spans="1:9" ht="12" customHeight="1" x14ac:dyDescent="0.25">
      <c r="A310" s="192"/>
      <c r="D310" s="302"/>
      <c r="H310" s="302"/>
    </row>
    <row r="311" spans="1:9" ht="57" customHeight="1" x14ac:dyDescent="0.25">
      <c r="A311" s="192"/>
      <c r="D311" s="416"/>
    </row>
    <row r="312" spans="1:9" ht="16.5" customHeight="1" x14ac:dyDescent="0.25">
      <c r="A312" s="192"/>
      <c r="D312" s="416"/>
    </row>
    <row r="313" spans="1:9" ht="16.5" customHeight="1" x14ac:dyDescent="0.25">
      <c r="A313" s="192"/>
      <c r="D313" s="416"/>
    </row>
    <row r="314" spans="1:9" ht="16.5" customHeight="1" x14ac:dyDescent="0.25">
      <c r="D314" s="302"/>
      <c r="H314" s="302"/>
    </row>
    <row r="315" spans="1:9" ht="20.25" x14ac:dyDescent="0.25">
      <c r="A315" s="603" t="s">
        <v>201</v>
      </c>
      <c r="B315" s="603"/>
      <c r="C315" s="603"/>
      <c r="D315" s="603"/>
      <c r="E315" s="603"/>
      <c r="F315" s="603"/>
      <c r="G315" s="603"/>
      <c r="H315" s="603"/>
      <c r="I315" s="603"/>
    </row>
    <row r="316" spans="1:9" ht="20.25" x14ac:dyDescent="0.25">
      <c r="A316" s="603" t="s">
        <v>258</v>
      </c>
      <c r="B316" s="603"/>
      <c r="C316" s="603"/>
      <c r="D316" s="603"/>
      <c r="E316" s="603"/>
      <c r="F316" s="603"/>
      <c r="G316" s="603"/>
      <c r="H316" s="603"/>
      <c r="I316" s="603"/>
    </row>
    <row r="317" spans="1:9" ht="15" hidden="1" customHeight="1" x14ac:dyDescent="0.25">
      <c r="A317" s="304"/>
      <c r="B317" s="305"/>
      <c r="C317" s="305"/>
      <c r="D317" s="305"/>
      <c r="E317" s="305"/>
      <c r="F317" s="305"/>
      <c r="G317" s="305"/>
      <c r="H317" s="305"/>
      <c r="I317" s="303"/>
    </row>
    <row r="318" spans="1:9" ht="13.5" hidden="1" customHeight="1" x14ac:dyDescent="0.25">
      <c r="A318" s="304"/>
      <c r="B318" s="305"/>
      <c r="C318" s="305"/>
      <c r="D318" s="305"/>
      <c r="E318" s="305"/>
      <c r="F318" s="305"/>
      <c r="G318" s="305"/>
      <c r="H318" s="305"/>
      <c r="I318" s="303"/>
    </row>
    <row r="319" spans="1:9" ht="24.75" customHeight="1" x14ac:dyDescent="0.25">
      <c r="A319" s="306"/>
      <c r="B319" s="307"/>
      <c r="C319" s="307"/>
      <c r="D319" s="307"/>
      <c r="E319" s="303"/>
      <c r="F319" s="303"/>
      <c r="G319" s="307"/>
      <c r="H319" s="307"/>
      <c r="I319" s="303"/>
    </row>
    <row r="320" spans="1:9" ht="18" customHeight="1" x14ac:dyDescent="0.25">
      <c r="A320" s="406"/>
      <c r="B320" s="340"/>
      <c r="C320" s="340"/>
      <c r="D320" s="340"/>
      <c r="E320" s="340"/>
      <c r="F320" s="340"/>
      <c r="G320" s="340"/>
      <c r="H320" s="605" t="s">
        <v>271</v>
      </c>
      <c r="I320" s="605"/>
    </row>
    <row r="321" spans="1:9" ht="18" customHeight="1" thickBot="1" x14ac:dyDescent="0.3">
      <c r="A321" s="406"/>
      <c r="B321" s="340"/>
      <c r="C321" s="340"/>
      <c r="D321" s="340"/>
      <c r="E321" s="340"/>
      <c r="F321" s="340"/>
      <c r="G321" s="340"/>
      <c r="H321" s="340"/>
      <c r="I321" s="386" t="s">
        <v>204</v>
      </c>
    </row>
    <row r="322" spans="1:9" ht="20.100000000000001" customHeight="1" thickBot="1" x14ac:dyDescent="0.3">
      <c r="A322" s="598" t="s">
        <v>205</v>
      </c>
      <c r="B322" s="600" t="s">
        <v>128</v>
      </c>
      <c r="C322" s="601"/>
      <c r="D322" s="601"/>
      <c r="E322" s="602"/>
      <c r="F322" s="600" t="s">
        <v>272</v>
      </c>
      <c r="G322" s="601"/>
      <c r="H322" s="601"/>
      <c r="I322" s="602"/>
    </row>
    <row r="323" spans="1:9" ht="39" thickBot="1" x14ac:dyDescent="0.3">
      <c r="A323" s="599"/>
      <c r="B323" s="193" t="s">
        <v>2</v>
      </c>
      <c r="C323" s="194" t="s">
        <v>208</v>
      </c>
      <c r="D323" s="195" t="s">
        <v>209</v>
      </c>
      <c r="E323" s="196" t="s">
        <v>61</v>
      </c>
      <c r="F323" s="193" t="s">
        <v>2</v>
      </c>
      <c r="G323" s="194" t="s">
        <v>208</v>
      </c>
      <c r="H323" s="195" t="s">
        <v>209</v>
      </c>
      <c r="I323" s="196" t="s">
        <v>61</v>
      </c>
    </row>
    <row r="324" spans="1:9" ht="15.75" thickBot="1" x14ac:dyDescent="0.3">
      <c r="A324" s="197" t="s">
        <v>210</v>
      </c>
      <c r="B324" s="198">
        <f>SUM(B325:B329)</f>
        <v>258400</v>
      </c>
      <c r="C324" s="199">
        <f>SUM(C325:C329)</f>
        <v>258400</v>
      </c>
      <c r="D324" s="199">
        <f>SUM(D325:D329)</f>
        <v>159145.71000000002</v>
      </c>
      <c r="E324" s="200">
        <f t="shared" ref="E324:E371" si="103">D324/C324*100</f>
        <v>61.588897058823534</v>
      </c>
      <c r="F324" s="417">
        <f>SUM(F325:F329)</f>
        <v>1786869</v>
      </c>
      <c r="G324" s="418">
        <f>SUM(G325:G329)</f>
        <v>1761967</v>
      </c>
      <c r="H324" s="418">
        <f>SUM(H325:H329)</f>
        <v>1164200.7999999998</v>
      </c>
      <c r="I324" s="200">
        <f>H324/G324*100</f>
        <v>66.073927604773516</v>
      </c>
    </row>
    <row r="325" spans="1:9" x14ac:dyDescent="0.25">
      <c r="A325" s="208" t="s">
        <v>211</v>
      </c>
      <c r="B325" s="205">
        <v>144000</v>
      </c>
      <c r="C325" s="206">
        <v>144000</v>
      </c>
      <c r="D325" s="440">
        <v>82372.5</v>
      </c>
      <c r="E325" s="348">
        <f t="shared" si="103"/>
        <v>57.203125</v>
      </c>
      <c r="F325" s="243">
        <f t="shared" ref="F325:H329" si="104">B12+F12+B73+F73+B136+F136+B201+F201+B262+F262+B325</f>
        <v>943525</v>
      </c>
      <c r="G325" s="419">
        <f t="shared" si="104"/>
        <v>943525</v>
      </c>
      <c r="H325" s="463">
        <f t="shared" si="104"/>
        <v>577380.25</v>
      </c>
      <c r="I325" s="230">
        <f>H325/G325*100</f>
        <v>61.193953525343794</v>
      </c>
    </row>
    <row r="326" spans="1:9" x14ac:dyDescent="0.25">
      <c r="A326" s="208" t="s">
        <v>212</v>
      </c>
      <c r="B326" s="209">
        <v>66500</v>
      </c>
      <c r="C326" s="210">
        <v>66500</v>
      </c>
      <c r="D326" s="438">
        <v>42879</v>
      </c>
      <c r="E326" s="233">
        <f t="shared" si="103"/>
        <v>64.479699248120298</v>
      </c>
      <c r="F326" s="234">
        <f t="shared" si="104"/>
        <v>498770</v>
      </c>
      <c r="G326" s="420">
        <f t="shared" si="104"/>
        <v>483568</v>
      </c>
      <c r="H326" s="464">
        <f t="shared" si="104"/>
        <v>318986.04000000004</v>
      </c>
      <c r="I326" s="233">
        <f>H326/G326*100</f>
        <v>65.965084538265558</v>
      </c>
    </row>
    <row r="327" spans="1:9" x14ac:dyDescent="0.25">
      <c r="A327" s="213" t="s">
        <v>213</v>
      </c>
      <c r="B327" s="209">
        <v>7850</v>
      </c>
      <c r="C327" s="210">
        <v>7850</v>
      </c>
      <c r="D327" s="438">
        <v>8934.8799999999992</v>
      </c>
      <c r="E327" s="350">
        <f t="shared" si="103"/>
        <v>113.82012738853501</v>
      </c>
      <c r="F327" s="234">
        <f t="shared" si="104"/>
        <v>83551</v>
      </c>
      <c r="G327" s="420">
        <f t="shared" si="104"/>
        <v>84151</v>
      </c>
      <c r="H327" s="464">
        <f t="shared" si="104"/>
        <v>93424.61</v>
      </c>
      <c r="I327" s="233">
        <f>H327/G327*100</f>
        <v>111.02020178013335</v>
      </c>
    </row>
    <row r="328" spans="1:9" x14ac:dyDescent="0.25">
      <c r="A328" s="208" t="s">
        <v>214</v>
      </c>
      <c r="B328" s="421">
        <v>40050</v>
      </c>
      <c r="C328" s="422">
        <v>40050</v>
      </c>
      <c r="D328" s="438">
        <v>23212.89</v>
      </c>
      <c r="E328" s="350">
        <f t="shared" si="103"/>
        <v>57.959775280898874</v>
      </c>
      <c r="F328" s="234">
        <f t="shared" si="104"/>
        <v>257021</v>
      </c>
      <c r="G328" s="420">
        <f t="shared" si="104"/>
        <v>243241</v>
      </c>
      <c r="H328" s="464">
        <f t="shared" si="104"/>
        <v>148600.02000000002</v>
      </c>
      <c r="I328" s="233">
        <f t="shared" ref="I328:I371" si="105">H328/G328*100</f>
        <v>61.091682734407449</v>
      </c>
    </row>
    <row r="329" spans="1:9" ht="15.75" thickBot="1" x14ac:dyDescent="0.3">
      <c r="A329" s="311" t="s">
        <v>215</v>
      </c>
      <c r="B329" s="388">
        <v>0</v>
      </c>
      <c r="C329" s="389">
        <v>0</v>
      </c>
      <c r="D329" s="441">
        <f>1.06+243.08+744.1+758.2</f>
        <v>1746.44</v>
      </c>
      <c r="E329" s="358"/>
      <c r="F329" s="237">
        <f t="shared" si="104"/>
        <v>4002</v>
      </c>
      <c r="G329" s="423">
        <f t="shared" si="104"/>
        <v>7482</v>
      </c>
      <c r="H329" s="465">
        <f t="shared" si="104"/>
        <v>25809.879999999997</v>
      </c>
      <c r="I329" s="239">
        <f t="shared" si="105"/>
        <v>344.95963646083931</v>
      </c>
    </row>
    <row r="330" spans="1:9" ht="21.75" customHeight="1" thickBot="1" x14ac:dyDescent="0.3">
      <c r="A330" s="298" t="s">
        <v>216</v>
      </c>
      <c r="B330" s="220">
        <f>B331+B354+B355</f>
        <v>1703555</v>
      </c>
      <c r="C330" s="354">
        <f t="shared" ref="C330:D330" si="106">C331+C354+C355</f>
        <v>2141968</v>
      </c>
      <c r="D330" s="354">
        <f t="shared" si="106"/>
        <v>995121.87999999989</v>
      </c>
      <c r="E330" s="316">
        <f t="shared" ref="E330" si="107">D330/C330*100</f>
        <v>46.458298163184509</v>
      </c>
      <c r="F330" s="220">
        <f>F331+F354+F355</f>
        <v>14528592</v>
      </c>
      <c r="G330" s="354">
        <f t="shared" ref="G330" si="108">G331+G354+G355</f>
        <v>16863625</v>
      </c>
      <c r="H330" s="354">
        <f>H331+H354+H355-1</f>
        <v>8465268.5900000017</v>
      </c>
      <c r="I330" s="315">
        <f t="shared" si="105"/>
        <v>50.19839204204316</v>
      </c>
    </row>
    <row r="331" spans="1:9" ht="15.75" thickBot="1" x14ac:dyDescent="0.3">
      <c r="A331" s="272" t="s">
        <v>217</v>
      </c>
      <c r="B331" s="224">
        <f>B336+B352+B353</f>
        <v>1703555</v>
      </c>
      <c r="C331" s="225">
        <f t="shared" ref="C331:D331" si="109">C336+C352+C353</f>
        <v>2141968</v>
      </c>
      <c r="D331" s="442">
        <f t="shared" si="109"/>
        <v>995121.87999999989</v>
      </c>
      <c r="E331" s="355">
        <f t="shared" si="103"/>
        <v>46.458298163184509</v>
      </c>
      <c r="F331" s="224">
        <f>F336+F352+F353</f>
        <v>14528592</v>
      </c>
      <c r="G331" s="225">
        <f t="shared" ref="G331:H331" si="110">G336+G352+G353</f>
        <v>16856583</v>
      </c>
      <c r="H331" s="442">
        <f t="shared" si="110"/>
        <v>8455503.790000001</v>
      </c>
      <c r="I331" s="263">
        <f t="shared" si="105"/>
        <v>50.161434200513831</v>
      </c>
    </row>
    <row r="332" spans="1:9" x14ac:dyDescent="0.25">
      <c r="A332" s="317" t="s">
        <v>218</v>
      </c>
      <c r="B332" s="205">
        <v>1393567</v>
      </c>
      <c r="C332" s="318">
        <v>1829448</v>
      </c>
      <c r="D332" s="440">
        <v>774161.7</v>
      </c>
      <c r="E332" s="357">
        <f t="shared" si="103"/>
        <v>42.316682409120126</v>
      </c>
      <c r="F332" s="245">
        <f t="shared" ref="F332:H335" si="111">B19+F19+B80+F80+B143+F143+B208+F208+B269+F269+B332</f>
        <v>12205972</v>
      </c>
      <c r="G332" s="424">
        <f t="shared" si="111"/>
        <v>14075641</v>
      </c>
      <c r="H332" s="469">
        <f t="shared" si="111"/>
        <v>6088148.8400000008</v>
      </c>
      <c r="I332" s="348">
        <f t="shared" si="105"/>
        <v>43.253084104659962</v>
      </c>
    </row>
    <row r="333" spans="1:9" x14ac:dyDescent="0.25">
      <c r="A333" s="319" t="s">
        <v>219</v>
      </c>
      <c r="B333" s="209">
        <v>309988</v>
      </c>
      <c r="C333" s="232">
        <v>237078</v>
      </c>
      <c r="D333" s="438">
        <v>79727.95</v>
      </c>
      <c r="E333" s="233">
        <f t="shared" si="103"/>
        <v>33.629417322568941</v>
      </c>
      <c r="F333" s="234">
        <f t="shared" si="111"/>
        <v>2311672</v>
      </c>
      <c r="G333" s="420">
        <f t="shared" si="111"/>
        <v>1830973</v>
      </c>
      <c r="H333" s="464">
        <f t="shared" si="111"/>
        <v>609658.4</v>
      </c>
      <c r="I333" s="233">
        <f t="shared" si="105"/>
        <v>33.296962871653491</v>
      </c>
    </row>
    <row r="334" spans="1:9" x14ac:dyDescent="0.25">
      <c r="A334" s="320" t="s">
        <v>265</v>
      </c>
      <c r="B334" s="234">
        <v>0</v>
      </c>
      <c r="C334" s="235">
        <v>0</v>
      </c>
      <c r="D334" s="438">
        <v>82831.78</v>
      </c>
      <c r="E334" s="233"/>
      <c r="F334" s="237">
        <f t="shared" si="111"/>
        <v>0</v>
      </c>
      <c r="G334" s="423">
        <f t="shared" si="111"/>
        <v>0</v>
      </c>
      <c r="H334" s="465">
        <f t="shared" si="111"/>
        <v>999538.70000000007</v>
      </c>
      <c r="I334" s="233"/>
    </row>
    <row r="335" spans="1:9" ht="15.75" thickBot="1" x14ac:dyDescent="0.3">
      <c r="A335" s="321" t="s">
        <v>262</v>
      </c>
      <c r="B335" s="217">
        <v>0</v>
      </c>
      <c r="C335" s="240">
        <v>0</v>
      </c>
      <c r="D335" s="441">
        <v>0</v>
      </c>
      <c r="E335" s="352"/>
      <c r="F335" s="217">
        <f t="shared" si="111"/>
        <v>0</v>
      </c>
      <c r="G335" s="425">
        <f t="shared" si="111"/>
        <v>2192</v>
      </c>
      <c r="H335" s="470">
        <f t="shared" si="111"/>
        <v>2192</v>
      </c>
      <c r="I335" s="352">
        <f t="shared" si="105"/>
        <v>100</v>
      </c>
    </row>
    <row r="336" spans="1:9" ht="26.25" thickBot="1" x14ac:dyDescent="0.3">
      <c r="A336" s="322" t="s">
        <v>222</v>
      </c>
      <c r="B336" s="224">
        <f>SUM(B332:B335)</f>
        <v>1703555</v>
      </c>
      <c r="C336" s="225">
        <f t="shared" ref="C336:D336" si="112">SUM(C332:C335)</f>
        <v>2066526</v>
      </c>
      <c r="D336" s="442">
        <f t="shared" si="112"/>
        <v>936721.42999999993</v>
      </c>
      <c r="E336" s="263">
        <f t="shared" si="103"/>
        <v>45.328315733748326</v>
      </c>
      <c r="F336" s="426">
        <f>SUM(F332:F335)</f>
        <v>14517644</v>
      </c>
      <c r="G336" s="427">
        <f t="shared" ref="G336:H336" si="113">SUM(G332:G335)</f>
        <v>15908806</v>
      </c>
      <c r="H336" s="471">
        <f t="shared" si="113"/>
        <v>7699537.9400000013</v>
      </c>
      <c r="I336" s="263">
        <f t="shared" si="105"/>
        <v>48.397962361223094</v>
      </c>
    </row>
    <row r="337" spans="1:9" x14ac:dyDescent="0.25">
      <c r="A337" s="394" t="s">
        <v>223</v>
      </c>
      <c r="B337" s="245">
        <v>0</v>
      </c>
      <c r="C337" s="246">
        <v>13056</v>
      </c>
      <c r="D337" s="440">
        <v>3686</v>
      </c>
      <c r="E337" s="348">
        <f t="shared" si="103"/>
        <v>28.232230392156865</v>
      </c>
      <c r="F337" s="245">
        <f t="shared" ref="F337:H344" si="114">B24+F24+B85+F85+B148+F148+B213+F213+B274+F274+B337</f>
        <v>0</v>
      </c>
      <c r="G337" s="424">
        <f t="shared" si="114"/>
        <v>151680</v>
      </c>
      <c r="H337" s="469">
        <f t="shared" si="114"/>
        <v>50237.68</v>
      </c>
      <c r="I337" s="348">
        <f t="shared" si="105"/>
        <v>33.12083333333333</v>
      </c>
    </row>
    <row r="338" spans="1:9" x14ac:dyDescent="0.25">
      <c r="A338" s="396" t="s">
        <v>224</v>
      </c>
      <c r="B338" s="234">
        <v>0</v>
      </c>
      <c r="C338" s="235">
        <v>0</v>
      </c>
      <c r="D338" s="438">
        <v>0</v>
      </c>
      <c r="E338" s="230"/>
      <c r="F338" s="234">
        <f t="shared" si="114"/>
        <v>10948</v>
      </c>
      <c r="G338" s="420">
        <f t="shared" si="114"/>
        <v>21751</v>
      </c>
      <c r="H338" s="464">
        <f t="shared" si="114"/>
        <v>9994</v>
      </c>
      <c r="I338" s="230">
        <f t="shared" si="105"/>
        <v>45.947312767229093</v>
      </c>
    </row>
    <row r="339" spans="1:9" x14ac:dyDescent="0.25">
      <c r="A339" s="396" t="s">
        <v>225</v>
      </c>
      <c r="B339" s="234">
        <v>0</v>
      </c>
      <c r="C339" s="235">
        <v>22832</v>
      </c>
      <c r="D339" s="438">
        <v>14096.29</v>
      </c>
      <c r="E339" s="233">
        <f t="shared" si="103"/>
        <v>61.739181850035038</v>
      </c>
      <c r="F339" s="234">
        <f t="shared" si="114"/>
        <v>0</v>
      </c>
      <c r="G339" s="420">
        <f t="shared" si="114"/>
        <v>180487</v>
      </c>
      <c r="H339" s="464">
        <f t="shared" si="114"/>
        <v>128760.53000000003</v>
      </c>
      <c r="I339" s="233">
        <f t="shared" si="105"/>
        <v>71.340611789214748</v>
      </c>
    </row>
    <row r="340" spans="1:9" x14ac:dyDescent="0.25">
      <c r="A340" s="251" t="s">
        <v>226</v>
      </c>
      <c r="B340" s="234">
        <v>0</v>
      </c>
      <c r="C340" s="235">
        <v>9150</v>
      </c>
      <c r="D340" s="438">
        <v>5400</v>
      </c>
      <c r="E340" s="233">
        <f t="shared" si="103"/>
        <v>59.016393442622949</v>
      </c>
      <c r="F340" s="234">
        <f t="shared" si="114"/>
        <v>0</v>
      </c>
      <c r="G340" s="420">
        <f t="shared" si="114"/>
        <v>90150</v>
      </c>
      <c r="H340" s="464">
        <f t="shared" si="114"/>
        <v>53700</v>
      </c>
      <c r="I340" s="233">
        <f t="shared" si="105"/>
        <v>59.567387687188024</v>
      </c>
    </row>
    <row r="341" spans="1:9" x14ac:dyDescent="0.25">
      <c r="A341" s="396" t="s">
        <v>227</v>
      </c>
      <c r="B341" s="234">
        <v>0</v>
      </c>
      <c r="C341" s="235">
        <v>0</v>
      </c>
      <c r="D341" s="438">
        <v>0</v>
      </c>
      <c r="E341" s="233"/>
      <c r="F341" s="234">
        <f t="shared" si="114"/>
        <v>0</v>
      </c>
      <c r="G341" s="420">
        <f t="shared" si="114"/>
        <v>200</v>
      </c>
      <c r="H341" s="464">
        <f t="shared" si="114"/>
        <v>200</v>
      </c>
      <c r="I341" s="233">
        <f t="shared" si="105"/>
        <v>100</v>
      </c>
    </row>
    <row r="342" spans="1:9" x14ac:dyDescent="0.25">
      <c r="A342" s="251" t="s">
        <v>228</v>
      </c>
      <c r="B342" s="234">
        <v>0</v>
      </c>
      <c r="C342" s="235">
        <v>18835</v>
      </c>
      <c r="D342" s="438">
        <v>8949.32</v>
      </c>
      <c r="E342" s="233">
        <f t="shared" si="103"/>
        <v>47.514308468277143</v>
      </c>
      <c r="F342" s="234">
        <f t="shared" si="114"/>
        <v>0</v>
      </c>
      <c r="G342" s="420">
        <f t="shared" si="114"/>
        <v>159950</v>
      </c>
      <c r="H342" s="464">
        <f t="shared" si="114"/>
        <v>56545.51</v>
      </c>
      <c r="I342" s="233">
        <f t="shared" si="105"/>
        <v>35.35199124726477</v>
      </c>
    </row>
    <row r="343" spans="1:9" x14ac:dyDescent="0.25">
      <c r="A343" s="251" t="s">
        <v>229</v>
      </c>
      <c r="B343" s="234">
        <v>0</v>
      </c>
      <c r="C343" s="235">
        <v>8900</v>
      </c>
      <c r="D343" s="438">
        <v>7900</v>
      </c>
      <c r="E343" s="233">
        <f t="shared" si="103"/>
        <v>88.764044943820224</v>
      </c>
      <c r="F343" s="234">
        <f t="shared" si="114"/>
        <v>0</v>
      </c>
      <c r="G343" s="420">
        <f t="shared" si="114"/>
        <v>83100</v>
      </c>
      <c r="H343" s="464">
        <f t="shared" si="114"/>
        <v>68800</v>
      </c>
      <c r="I343" s="233">
        <f t="shared" si="105"/>
        <v>82.79181708784597</v>
      </c>
    </row>
    <row r="344" spans="1:9" x14ac:dyDescent="0.25">
      <c r="A344" s="396" t="s">
        <v>230</v>
      </c>
      <c r="B344" s="234">
        <v>0</v>
      </c>
      <c r="C344" s="235">
        <v>0</v>
      </c>
      <c r="D344" s="438">
        <v>0</v>
      </c>
      <c r="E344" s="233"/>
      <c r="F344" s="234">
        <f t="shared" si="114"/>
        <v>0</v>
      </c>
      <c r="G344" s="420">
        <f t="shared" si="114"/>
        <v>0</v>
      </c>
      <c r="H344" s="464">
        <f t="shared" si="114"/>
        <v>0</v>
      </c>
      <c r="I344" s="233"/>
    </row>
    <row r="345" spans="1:9" x14ac:dyDescent="0.25">
      <c r="A345" s="396" t="s">
        <v>231</v>
      </c>
      <c r="B345" s="234">
        <v>0</v>
      </c>
      <c r="C345" s="235">
        <v>0</v>
      </c>
      <c r="D345" s="438">
        <v>0</v>
      </c>
      <c r="E345" s="233"/>
      <c r="F345" s="234">
        <f>B34+F34+B93+F93+B156+F156+B221+F221+B282+F282+B345</f>
        <v>0</v>
      </c>
      <c r="G345" s="420">
        <f t="shared" ref="G345:H351" si="115">C32+G32+C93+G93+C156+G156+C221+G221+C282+G282+C345</f>
        <v>0</v>
      </c>
      <c r="H345" s="464">
        <f t="shared" si="115"/>
        <v>0</v>
      </c>
      <c r="I345" s="233"/>
    </row>
    <row r="346" spans="1:9" x14ac:dyDescent="0.25">
      <c r="A346" s="251" t="s">
        <v>232</v>
      </c>
      <c r="B346" s="237">
        <v>0</v>
      </c>
      <c r="C346" s="238">
        <v>0</v>
      </c>
      <c r="D346" s="439">
        <v>0</v>
      </c>
      <c r="E346" s="233"/>
      <c r="F346" s="234">
        <f>B35+F35+B94+F94+B157+F157+B222+F222+B283+F283+B346</f>
        <v>0</v>
      </c>
      <c r="G346" s="420">
        <f t="shared" si="115"/>
        <v>0</v>
      </c>
      <c r="H346" s="464">
        <f t="shared" si="115"/>
        <v>0</v>
      </c>
      <c r="I346" s="233"/>
    </row>
    <row r="347" spans="1:9" x14ac:dyDescent="0.25">
      <c r="A347" s="251" t="s">
        <v>233</v>
      </c>
      <c r="B347" s="237">
        <v>0</v>
      </c>
      <c r="C347" s="238">
        <v>0</v>
      </c>
      <c r="D347" s="439">
        <v>0</v>
      </c>
      <c r="E347" s="233"/>
      <c r="F347" s="234">
        <f>B35+F35+B95+F95+B158+F158+B223+F223+B284+F284+B347</f>
        <v>0</v>
      </c>
      <c r="G347" s="420">
        <f t="shared" si="115"/>
        <v>0</v>
      </c>
      <c r="H347" s="464">
        <f t="shared" si="115"/>
        <v>0</v>
      </c>
      <c r="I347" s="233"/>
    </row>
    <row r="348" spans="1:9" x14ac:dyDescent="0.25">
      <c r="A348" s="251" t="s">
        <v>234</v>
      </c>
      <c r="B348" s="234">
        <v>0</v>
      </c>
      <c r="C348" s="235">
        <v>0</v>
      </c>
      <c r="D348" s="438">
        <v>0</v>
      </c>
      <c r="E348" s="233"/>
      <c r="F348" s="237">
        <f>B35+F35+B96+F96+B159+F159+B224+F224+B285+F285+B348</f>
        <v>0</v>
      </c>
      <c r="G348" s="423">
        <f t="shared" si="115"/>
        <v>0</v>
      </c>
      <c r="H348" s="465">
        <f t="shared" si="115"/>
        <v>0</v>
      </c>
      <c r="I348" s="233"/>
    </row>
    <row r="349" spans="1:9" x14ac:dyDescent="0.25">
      <c r="A349" s="399" t="s">
        <v>235</v>
      </c>
      <c r="B349" s="234">
        <v>0</v>
      </c>
      <c r="C349" s="235">
        <v>2669</v>
      </c>
      <c r="D349" s="466">
        <v>961.25</v>
      </c>
      <c r="E349" s="233">
        <f t="shared" si="103"/>
        <v>36.015361558636194</v>
      </c>
      <c r="F349" s="237">
        <f>B36+F36+B97+F97+B160+F160+B225+F225+B286+F286+B349</f>
        <v>0</v>
      </c>
      <c r="G349" s="423">
        <f t="shared" si="115"/>
        <v>246645</v>
      </c>
      <c r="H349" s="465">
        <f t="shared" si="115"/>
        <v>46266.06</v>
      </c>
      <c r="I349" s="233">
        <f>H349/G349*100</f>
        <v>18.758158486894118</v>
      </c>
    </row>
    <row r="350" spans="1:9" x14ac:dyDescent="0.25">
      <c r="A350" s="399" t="s">
        <v>236</v>
      </c>
      <c r="B350" s="234">
        <v>0</v>
      </c>
      <c r="C350" s="235">
        <v>0</v>
      </c>
      <c r="D350" s="466">
        <v>0</v>
      </c>
      <c r="E350" s="233"/>
      <c r="F350" s="237">
        <f>B37+F37+B98+F98+B161+F161+B226+F226+B287+F287+B350</f>
        <v>0</v>
      </c>
      <c r="G350" s="423">
        <f t="shared" si="115"/>
        <v>12834</v>
      </c>
      <c r="H350" s="465">
        <f t="shared" si="115"/>
        <v>6417</v>
      </c>
      <c r="I350" s="233">
        <f>H350/G350*100</f>
        <v>50</v>
      </c>
    </row>
    <row r="351" spans="1:9" ht="15.75" thickBot="1" x14ac:dyDescent="0.3">
      <c r="A351" s="400" t="s">
        <v>237</v>
      </c>
      <c r="B351" s="217">
        <v>0</v>
      </c>
      <c r="C351" s="240">
        <v>0</v>
      </c>
      <c r="D351" s="467">
        <v>0</v>
      </c>
      <c r="E351" s="352"/>
      <c r="F351" s="217">
        <f>B38+F38+B99+F99+B162+F162+B227+F227+B288+F288+B351</f>
        <v>0</v>
      </c>
      <c r="G351" s="425">
        <f t="shared" si="115"/>
        <v>0</v>
      </c>
      <c r="H351" s="470">
        <f t="shared" si="115"/>
        <v>0</v>
      </c>
      <c r="I351" s="352"/>
    </row>
    <row r="352" spans="1:9" ht="15.75" thickBot="1" x14ac:dyDescent="0.3">
      <c r="A352" s="260" t="s">
        <v>238</v>
      </c>
      <c r="B352" s="261">
        <f>SUM(B337:B351)</f>
        <v>0</v>
      </c>
      <c r="C352" s="262">
        <f>SUM(C337:C351)</f>
        <v>75442</v>
      </c>
      <c r="D352" s="445">
        <f>SUM(D337:D351)</f>
        <v>40992.86</v>
      </c>
      <c r="E352" s="263">
        <f t="shared" si="103"/>
        <v>54.336921078444369</v>
      </c>
      <c r="F352" s="267">
        <f>SUM(F337:F351)</f>
        <v>10948</v>
      </c>
      <c r="G352" s="265">
        <f>SUM(G337:G351)</f>
        <v>946797</v>
      </c>
      <c r="H352" s="472">
        <f>SUM(H337:H351)</f>
        <v>420920.78</v>
      </c>
      <c r="I352" s="263">
        <f t="shared" si="105"/>
        <v>44.457341964539395</v>
      </c>
    </row>
    <row r="353" spans="1:9" ht="15.75" thickBot="1" x14ac:dyDescent="0.3">
      <c r="A353" s="260" t="s">
        <v>239</v>
      </c>
      <c r="B353" s="261">
        <v>0</v>
      </c>
      <c r="C353" s="262">
        <v>0</v>
      </c>
      <c r="D353" s="468">
        <v>17407.589999999997</v>
      </c>
      <c r="E353" s="263"/>
      <c r="F353" s="261">
        <f t="shared" ref="F353:H355" si="116">B40+F40+B101+F101+B164+F164+B229+F229+B290+F290+B353</f>
        <v>0</v>
      </c>
      <c r="G353" s="428">
        <f t="shared" si="116"/>
        <v>980</v>
      </c>
      <c r="H353" s="473">
        <f t="shared" si="116"/>
        <v>335045.06999999995</v>
      </c>
      <c r="I353" s="263">
        <f t="shared" si="105"/>
        <v>34188.272448979587</v>
      </c>
    </row>
    <row r="354" spans="1:9" ht="15.75" thickBot="1" x14ac:dyDescent="0.3">
      <c r="A354" s="260" t="s">
        <v>240</v>
      </c>
      <c r="B354" s="261">
        <v>0</v>
      </c>
      <c r="C354" s="262">
        <v>0</v>
      </c>
      <c r="D354" s="468"/>
      <c r="E354" s="263"/>
      <c r="F354" s="261">
        <f t="shared" si="116"/>
        <v>0</v>
      </c>
      <c r="G354" s="428">
        <f t="shared" si="116"/>
        <v>4542</v>
      </c>
      <c r="H354" s="473">
        <f t="shared" si="116"/>
        <v>2635.3999999999996</v>
      </c>
      <c r="I354" s="263">
        <f t="shared" si="105"/>
        <v>58.022897402025528</v>
      </c>
    </row>
    <row r="355" spans="1:9" ht="15.75" thickBot="1" x14ac:dyDescent="0.3">
      <c r="A355" s="260" t="s">
        <v>241</v>
      </c>
      <c r="B355" s="261">
        <v>0</v>
      </c>
      <c r="C355" s="262">
        <v>0</v>
      </c>
      <c r="D355" s="468"/>
      <c r="E355" s="263"/>
      <c r="F355" s="261">
        <f t="shared" si="116"/>
        <v>0</v>
      </c>
      <c r="G355" s="428">
        <f t="shared" si="116"/>
        <v>2500</v>
      </c>
      <c r="H355" s="473">
        <f t="shared" si="116"/>
        <v>7130.4</v>
      </c>
      <c r="I355" s="263">
        <f t="shared" si="105"/>
        <v>285.21600000000001</v>
      </c>
    </row>
    <row r="356" spans="1:9" ht="26.25" thickBot="1" x14ac:dyDescent="0.3">
      <c r="A356" s="326" t="s">
        <v>242</v>
      </c>
      <c r="B356" s="308">
        <f>B360+B367</f>
        <v>769041</v>
      </c>
      <c r="C356" s="309">
        <f t="shared" ref="C356:D356" si="117">C360+C367</f>
        <v>779041</v>
      </c>
      <c r="D356" s="309">
        <f t="shared" si="117"/>
        <v>406704.49</v>
      </c>
      <c r="E356" s="327">
        <f t="shared" ref="E356" si="118">E357+E358+E361+E362</f>
        <v>152.27254381952662</v>
      </c>
      <c r="F356" s="308">
        <f>F360+F367</f>
        <v>5672050</v>
      </c>
      <c r="G356" s="309">
        <f t="shared" ref="G356:H356" si="119">G360+G367</f>
        <v>5664566</v>
      </c>
      <c r="H356" s="309">
        <f t="shared" si="119"/>
        <v>3004979.56</v>
      </c>
      <c r="I356" s="299">
        <f t="shared" si="105"/>
        <v>53.048716530092513</v>
      </c>
    </row>
    <row r="357" spans="1:9" x14ac:dyDescent="0.25">
      <c r="A357" s="328" t="s">
        <v>243</v>
      </c>
      <c r="B357" s="205">
        <v>459000</v>
      </c>
      <c r="C357" s="318">
        <v>469000</v>
      </c>
      <c r="D357" s="474">
        <v>159563.94</v>
      </c>
      <c r="E357" s="429">
        <f t="shared" si="103"/>
        <v>34.022162046908313</v>
      </c>
      <c r="F357" s="245">
        <f t="shared" ref="F357:H359" si="120">B44+F44+B105+F105+B168+F168+B233+F233+B294+F294+B357</f>
        <v>3177000</v>
      </c>
      <c r="G357" s="246">
        <f t="shared" si="120"/>
        <v>3255992</v>
      </c>
      <c r="H357" s="440">
        <f t="shared" si="120"/>
        <v>1182468.8800000001</v>
      </c>
      <c r="I357" s="376">
        <f t="shared" si="105"/>
        <v>36.316701023835442</v>
      </c>
    </row>
    <row r="358" spans="1:9" x14ac:dyDescent="0.25">
      <c r="A358" s="329" t="s">
        <v>244</v>
      </c>
      <c r="B358" s="209">
        <v>18072</v>
      </c>
      <c r="C358" s="232">
        <v>18072</v>
      </c>
      <c r="D358" s="475">
        <v>5902.12</v>
      </c>
      <c r="E358" s="410">
        <f t="shared" si="103"/>
        <v>32.65891987605135</v>
      </c>
      <c r="F358" s="234">
        <f t="shared" si="120"/>
        <v>145000</v>
      </c>
      <c r="G358" s="235">
        <f t="shared" si="120"/>
        <v>145000</v>
      </c>
      <c r="H358" s="438">
        <f t="shared" si="120"/>
        <v>43303.67</v>
      </c>
      <c r="I358" s="430">
        <f t="shared" si="105"/>
        <v>29.864599999999996</v>
      </c>
    </row>
    <row r="359" spans="1:9" ht="15.75" thickBot="1" x14ac:dyDescent="0.3">
      <c r="A359" s="330" t="s">
        <v>245</v>
      </c>
      <c r="B359" s="217">
        <v>0</v>
      </c>
      <c r="C359" s="240">
        <v>0</v>
      </c>
      <c r="D359" s="441">
        <v>0</v>
      </c>
      <c r="E359" s="352"/>
      <c r="F359" s="217">
        <f t="shared" si="120"/>
        <v>0</v>
      </c>
      <c r="G359" s="240">
        <f t="shared" si="120"/>
        <v>0</v>
      </c>
      <c r="H359" s="441">
        <f t="shared" si="120"/>
        <v>0</v>
      </c>
      <c r="I359" s="352"/>
    </row>
    <row r="360" spans="1:9" ht="15.75" thickBot="1" x14ac:dyDescent="0.3">
      <c r="A360" s="272" t="s">
        <v>246</v>
      </c>
      <c r="B360" s="261">
        <f>SUM(B357:B359)</f>
        <v>477072</v>
      </c>
      <c r="C360" s="262">
        <f t="shared" ref="C360:D360" si="121">SUM(C357:C359)</f>
        <v>487072</v>
      </c>
      <c r="D360" s="445">
        <f t="shared" si="121"/>
        <v>165466.06</v>
      </c>
      <c r="E360" s="266">
        <f t="shared" si="103"/>
        <v>33.971581203600287</v>
      </c>
      <c r="F360" s="261">
        <f>SUM(F357:F359)</f>
        <v>3322000</v>
      </c>
      <c r="G360" s="262">
        <f t="shared" ref="G360:H360" si="122">SUM(G357:G359)</f>
        <v>3400992</v>
      </c>
      <c r="H360" s="445">
        <f t="shared" si="122"/>
        <v>1225772.55</v>
      </c>
      <c r="I360" s="431">
        <f t="shared" ref="I360" si="123">H360/G360*100</f>
        <v>36.041618151409942</v>
      </c>
    </row>
    <row r="361" spans="1:9" x14ac:dyDescent="0.25">
      <c r="A361" s="328" t="s">
        <v>247</v>
      </c>
      <c r="B361" s="205">
        <v>209000</v>
      </c>
      <c r="C361" s="318">
        <v>209000</v>
      </c>
      <c r="D361" s="440">
        <v>79978.740000000005</v>
      </c>
      <c r="E361" s="432">
        <f t="shared" si="103"/>
        <v>38.267339712918663</v>
      </c>
      <c r="F361" s="245">
        <f t="shared" ref="F361:H366" si="124">B48+F48+B109+F109+B172+F172+B237+F237+B298+F298+B361</f>
        <v>1693029</v>
      </c>
      <c r="G361" s="424">
        <f t="shared" si="124"/>
        <v>1641939</v>
      </c>
      <c r="H361" s="469">
        <f t="shared" si="124"/>
        <v>630865.02999999991</v>
      </c>
      <c r="I361" s="433">
        <f t="shared" si="105"/>
        <v>38.421952947094859</v>
      </c>
    </row>
    <row r="362" spans="1:9" ht="15" customHeight="1" x14ac:dyDescent="0.25">
      <c r="A362" s="329" t="s">
        <v>248</v>
      </c>
      <c r="B362" s="209">
        <v>42919</v>
      </c>
      <c r="C362" s="232">
        <v>42919</v>
      </c>
      <c r="D362" s="438">
        <v>20311.04</v>
      </c>
      <c r="E362" s="211">
        <f t="shared" si="103"/>
        <v>47.324122183648271</v>
      </c>
      <c r="F362" s="234">
        <f t="shared" si="124"/>
        <v>400000</v>
      </c>
      <c r="G362" s="420">
        <f t="shared" si="124"/>
        <v>378626</v>
      </c>
      <c r="H362" s="464">
        <f t="shared" si="124"/>
        <v>126495.98999999999</v>
      </c>
      <c r="I362" s="233">
        <f t="shared" si="105"/>
        <v>33.409219123884782</v>
      </c>
    </row>
    <row r="363" spans="1:9" x14ac:dyDescent="0.25">
      <c r="A363" s="373" t="s">
        <v>249</v>
      </c>
      <c r="B363" s="234">
        <v>40050</v>
      </c>
      <c r="C363" s="235">
        <v>40050</v>
      </c>
      <c r="D363" s="438">
        <v>36573.65</v>
      </c>
      <c r="E363" s="211">
        <f t="shared" si="103"/>
        <v>91.319975031210987</v>
      </c>
      <c r="F363" s="234">
        <f t="shared" si="124"/>
        <v>257021</v>
      </c>
      <c r="G363" s="235">
        <f t="shared" si="124"/>
        <v>243009</v>
      </c>
      <c r="H363" s="438">
        <f t="shared" si="124"/>
        <v>228981.79</v>
      </c>
      <c r="I363" s="233">
        <f t="shared" si="105"/>
        <v>94.227699385619474</v>
      </c>
    </row>
    <row r="364" spans="1:9" x14ac:dyDescent="0.25">
      <c r="A364" s="374" t="s">
        <v>250</v>
      </c>
      <c r="B364" s="234">
        <v>0</v>
      </c>
      <c r="C364" s="235">
        <v>0</v>
      </c>
      <c r="D364" s="438">
        <v>104132.8</v>
      </c>
      <c r="E364" s="211"/>
      <c r="F364" s="234">
        <f t="shared" si="124"/>
        <v>0</v>
      </c>
      <c r="G364" s="235">
        <f t="shared" si="124"/>
        <v>0</v>
      </c>
      <c r="H364" s="438">
        <f t="shared" si="124"/>
        <v>784070</v>
      </c>
      <c r="I364" s="233"/>
    </row>
    <row r="365" spans="1:9" x14ac:dyDescent="0.25">
      <c r="A365" s="374" t="s">
        <v>251</v>
      </c>
      <c r="B365" s="234">
        <v>0</v>
      </c>
      <c r="C365" s="235">
        <v>0</v>
      </c>
      <c r="D365" s="438">
        <v>242.2</v>
      </c>
      <c r="E365" s="211"/>
      <c r="F365" s="234">
        <f t="shared" si="124"/>
        <v>0</v>
      </c>
      <c r="G365" s="235">
        <f t="shared" si="124"/>
        <v>0</v>
      </c>
      <c r="H365" s="438">
        <f t="shared" si="124"/>
        <v>8794.2000000000007</v>
      </c>
      <c r="I365" s="430"/>
    </row>
    <row r="366" spans="1:9" ht="15.75" thickBot="1" x14ac:dyDescent="0.3">
      <c r="A366" s="330" t="s">
        <v>252</v>
      </c>
      <c r="B366" s="217">
        <v>0</v>
      </c>
      <c r="C366" s="240">
        <v>0</v>
      </c>
      <c r="D366" s="441">
        <v>0</v>
      </c>
      <c r="E366" s="434"/>
      <c r="F366" s="217">
        <f t="shared" si="124"/>
        <v>0</v>
      </c>
      <c r="G366" s="240">
        <f t="shared" si="124"/>
        <v>0</v>
      </c>
      <c r="H366" s="441">
        <f t="shared" si="124"/>
        <v>0</v>
      </c>
      <c r="I366" s="377"/>
    </row>
    <row r="367" spans="1:9" ht="15.75" thickBot="1" x14ac:dyDescent="0.3">
      <c r="A367" s="278" t="s">
        <v>253</v>
      </c>
      <c r="B367" s="333">
        <f>SUM(B361:B366)</f>
        <v>291969</v>
      </c>
      <c r="C367" s="334">
        <f t="shared" ref="C367:D367" si="125">SUM(C361:C366)</f>
        <v>291969</v>
      </c>
      <c r="D367" s="452">
        <f t="shared" si="125"/>
        <v>241238.43</v>
      </c>
      <c r="E367" s="266">
        <f t="shared" ref="E367:E368" si="126">D367/C367*100</f>
        <v>82.62467248235258</v>
      </c>
      <c r="F367" s="333">
        <f>SUM(F361:F366)</f>
        <v>2350050</v>
      </c>
      <c r="G367" s="334">
        <f t="shared" ref="G367:H367" si="127">SUM(G361:G366)</f>
        <v>2263574</v>
      </c>
      <c r="H367" s="452">
        <f t="shared" si="127"/>
        <v>1779207.01</v>
      </c>
      <c r="I367" s="435">
        <f t="shared" ref="I367:I369" si="128">H367/G367*100</f>
        <v>78.601671957709357</v>
      </c>
    </row>
    <row r="368" spans="1:9" ht="21" customHeight="1" thickBot="1" x14ac:dyDescent="0.3">
      <c r="A368" s="197" t="s">
        <v>270</v>
      </c>
      <c r="B368" s="281">
        <f>B330+B356</f>
        <v>2472596</v>
      </c>
      <c r="C368" s="282">
        <f>C330+C356</f>
        <v>2921009</v>
      </c>
      <c r="D368" s="282">
        <f>D330+D356</f>
        <v>1401826.3699999999</v>
      </c>
      <c r="E368" s="283">
        <f t="shared" si="126"/>
        <v>47.991169147373384</v>
      </c>
      <c r="F368" s="281">
        <f>F330+F356</f>
        <v>20200642</v>
      </c>
      <c r="G368" s="282">
        <f>G330+G356</f>
        <v>22528191</v>
      </c>
      <c r="H368" s="282">
        <f>H330+H356+1</f>
        <v>11470249.150000002</v>
      </c>
      <c r="I368" s="283">
        <f t="shared" si="128"/>
        <v>50.915091895305764</v>
      </c>
    </row>
    <row r="369" spans="1:9" ht="15" customHeight="1" x14ac:dyDescent="0.25">
      <c r="A369" s="412" t="s">
        <v>255</v>
      </c>
      <c r="B369" s="245">
        <v>0</v>
      </c>
      <c r="C369" s="335">
        <v>0</v>
      </c>
      <c r="D369" s="453">
        <v>0</v>
      </c>
      <c r="E369" s="348"/>
      <c r="F369" s="245">
        <f t="shared" ref="F369:H370" si="129">B56+F56+B117+F117+B180+F180+B245+F245+B306+F306+B369</f>
        <v>0</v>
      </c>
      <c r="G369" s="424">
        <f t="shared" si="129"/>
        <v>87018</v>
      </c>
      <c r="H369" s="469">
        <f t="shared" si="129"/>
        <v>0</v>
      </c>
      <c r="I369" s="348">
        <f t="shared" si="128"/>
        <v>0</v>
      </c>
    </row>
    <row r="370" spans="1:9" ht="15.75" thickBot="1" x14ac:dyDescent="0.3">
      <c r="A370" s="414" t="s">
        <v>256</v>
      </c>
      <c r="B370" s="217">
        <v>0</v>
      </c>
      <c r="C370" s="436">
        <v>0</v>
      </c>
      <c r="D370" s="476">
        <v>0</v>
      </c>
      <c r="E370" s="352"/>
      <c r="F370" s="217">
        <f t="shared" si="129"/>
        <v>0</v>
      </c>
      <c r="G370" s="425">
        <f t="shared" si="129"/>
        <v>0</v>
      </c>
      <c r="H370" s="470">
        <f t="shared" si="129"/>
        <v>0</v>
      </c>
      <c r="I370" s="352"/>
    </row>
    <row r="371" spans="1:9" ht="20.25" customHeight="1" thickBot="1" x14ac:dyDescent="0.3">
      <c r="A371" s="298" t="s">
        <v>257</v>
      </c>
      <c r="B371" s="281">
        <f>SUM(B368:B370)</f>
        <v>2472596</v>
      </c>
      <c r="C371" s="282">
        <f t="shared" ref="C371:D371" si="130">SUM(C368:C370)</f>
        <v>2921009</v>
      </c>
      <c r="D371" s="282">
        <f t="shared" si="130"/>
        <v>1401826.3699999999</v>
      </c>
      <c r="E371" s="222">
        <f t="shared" si="103"/>
        <v>47.991169147373384</v>
      </c>
      <c r="F371" s="417">
        <f>SUM(F368:F370)</f>
        <v>20200642</v>
      </c>
      <c r="G371" s="418">
        <f t="shared" ref="G371:H371" si="131">SUM(G368:G370)</f>
        <v>22615209</v>
      </c>
      <c r="H371" s="418">
        <f t="shared" si="131"/>
        <v>11470249.150000002</v>
      </c>
      <c r="I371" s="200">
        <f t="shared" si="105"/>
        <v>50.719182608482647</v>
      </c>
    </row>
    <row r="372" spans="1:9" x14ac:dyDescent="0.25">
      <c r="A372" s="192"/>
    </row>
    <row r="373" spans="1:9" x14ac:dyDescent="0.25">
      <c r="D373" s="302"/>
      <c r="H373" s="302"/>
    </row>
  </sheetData>
  <sheetProtection sheet="1" objects="1" scenarios="1"/>
  <mergeCells count="36">
    <mergeCell ref="H320:I320"/>
    <mergeCell ref="A322:A323"/>
    <mergeCell ref="B322:E322"/>
    <mergeCell ref="F322:I322"/>
    <mergeCell ref="A315:I315"/>
    <mergeCell ref="A316:I316"/>
    <mergeCell ref="H257:I257"/>
    <mergeCell ref="A259:A260"/>
    <mergeCell ref="B259:E259"/>
    <mergeCell ref="F259:I259"/>
    <mergeCell ref="A253:I253"/>
    <mergeCell ref="A254:I254"/>
    <mergeCell ref="H196:I196"/>
    <mergeCell ref="A198:A199"/>
    <mergeCell ref="B198:E198"/>
    <mergeCell ref="F198:I198"/>
    <mergeCell ref="A189:I189"/>
    <mergeCell ref="A190:I190"/>
    <mergeCell ref="H131:I131"/>
    <mergeCell ref="A133:A134"/>
    <mergeCell ref="B133:E133"/>
    <mergeCell ref="F133:I133"/>
    <mergeCell ref="A126:I126"/>
    <mergeCell ref="A127:I127"/>
    <mergeCell ref="H68:I68"/>
    <mergeCell ref="A70:A71"/>
    <mergeCell ref="B70:E70"/>
    <mergeCell ref="F70:I70"/>
    <mergeCell ref="A63:I63"/>
    <mergeCell ref="A64:I64"/>
    <mergeCell ref="H7:I7"/>
    <mergeCell ref="A9:A10"/>
    <mergeCell ref="B9:E9"/>
    <mergeCell ref="F9:I9"/>
    <mergeCell ref="A3:I3"/>
    <mergeCell ref="A4:I4"/>
  </mergeCells>
  <pageMargins left="0.11811023622047245" right="0.11811023622047245" top="0.15748031496062992" bottom="0.15748031496062992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 PRIJMY tab. 1 </vt:lpstr>
      <vt:lpstr>VYDAJE tab. 2</vt:lpstr>
      <vt:lpstr>miestne podniky tab. 3 a 4</vt:lpstr>
      <vt:lpstr>základné školy tab. 5</vt:lpstr>
      <vt:lpstr>'VYDAJE tab.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Orságová Ľubica</dc:creator>
  <cp:lastModifiedBy>Grečová Zuzana</cp:lastModifiedBy>
  <cp:lastPrinted>2024-08-27T09:59:55Z</cp:lastPrinted>
  <dcterms:created xsi:type="dcterms:W3CDTF">2024-08-06T06:30:29Z</dcterms:created>
  <dcterms:modified xsi:type="dcterms:W3CDTF">2024-09-02T12:21:54Z</dcterms:modified>
</cp:coreProperties>
</file>